
<file path=[Content_Types].xml><?xml version="1.0" encoding="utf-8"?>
<Types xmlns="http://schemas.openxmlformats.org/package/2006/content-types">
  <Default Extension="xml" ContentType="application/xml"/>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28016"/>
  <workbookPr/>
  <mc:AlternateContent xmlns:mc="http://schemas.openxmlformats.org/markup-compatibility/2006">
    <mc:Choice Requires="x15">
      <x15ac:absPath xmlns:x15ac="http://schemas.microsoft.com/office/spreadsheetml/2010/11/ac" url="/Volumes/Common/PLANNING DEPARTMENT/CODE/Approved/"/>
    </mc:Choice>
  </mc:AlternateContent>
  <bookViews>
    <workbookView xWindow="39120" yWindow="460" windowWidth="37640" windowHeight="21060" tabRatio="500" activeTab="1"/>
  </bookViews>
  <sheets>
    <sheet name="Instructions" sheetId="3" r:id="rId1"/>
    <sheet name="Calculator" sheetId="1" r:id="rId2"/>
    <sheet name="Sheet2" sheetId="2" state="hidden" r:id="rId3"/>
  </sheets>
  <definedNames>
    <definedName name="_xlnm._FilterDatabase" localSheetId="1" hidden="1">Calculator!$H$2:$K$44</definedName>
    <definedName name="HousingType">#REF!</definedName>
    <definedName name="Item">Calculator!$H$3:$H$44</definedName>
  </definedNames>
  <calcPr calcId="150001" concurrentCalc="0"/>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calcChain.xml><?xml version="1.0" encoding="utf-8"?>
<calcChain xmlns="http://schemas.openxmlformats.org/spreadsheetml/2006/main">
  <c r="A8" i="3" l="1"/>
  <c r="A7" i="3"/>
  <c r="A6" i="3"/>
  <c r="A5" i="3"/>
  <c r="A4" i="3"/>
  <c r="F15" i="1"/>
  <c r="F16" i="1"/>
  <c r="F17" i="1"/>
  <c r="F18" i="1"/>
  <c r="F19" i="1"/>
  <c r="F20" i="1"/>
  <c r="F21" i="1"/>
  <c r="F22" i="1"/>
  <c r="F23" i="1"/>
  <c r="F24" i="1"/>
  <c r="F25" i="1"/>
  <c r="F26" i="1"/>
  <c r="F27" i="1"/>
  <c r="F28" i="1"/>
  <c r="F29" i="1"/>
  <c r="F30" i="1"/>
  <c r="F31" i="1"/>
  <c r="F32" i="1"/>
  <c r="F33" i="1"/>
  <c r="F34" i="1"/>
  <c r="F35" i="1"/>
  <c r="F36" i="1"/>
  <c r="F37" i="1"/>
  <c r="F38" i="1"/>
  <c r="F39" i="1"/>
  <c r="F40" i="1"/>
  <c r="F41" i="1"/>
  <c r="F42" i="1"/>
  <c r="F43" i="1"/>
  <c r="F44" i="1"/>
  <c r="F3" i="1"/>
  <c r="F4" i="1"/>
  <c r="F5" i="1"/>
  <c r="F6" i="1"/>
  <c r="F7" i="1"/>
  <c r="F9" i="1"/>
  <c r="F10" i="1"/>
  <c r="F11" i="1"/>
  <c r="F12" i="1"/>
  <c r="B27" i="1"/>
  <c r="B36" i="1"/>
  <c r="A16" i="1"/>
  <c r="B41" i="1"/>
  <c r="B42" i="1"/>
  <c r="B14" i="1"/>
  <c r="B16" i="1"/>
  <c r="A1" i="2"/>
  <c r="B1" i="2"/>
  <c r="C1" i="2"/>
  <c r="C30" i="2"/>
  <c r="B40" i="1"/>
  <c r="B38" i="1"/>
  <c r="E12" i="1"/>
  <c r="B39" i="1"/>
  <c r="A2" i="2"/>
  <c r="B2" i="2"/>
  <c r="C2" i="2"/>
  <c r="A3" i="2"/>
  <c r="B3" i="2"/>
  <c r="C3" i="2"/>
  <c r="A4" i="2"/>
  <c r="B4" i="2"/>
  <c r="C4" i="2"/>
  <c r="A5" i="2"/>
  <c r="B5" i="2"/>
  <c r="C5" i="2"/>
  <c r="A6" i="2"/>
  <c r="B6" i="2"/>
  <c r="C6" i="2"/>
  <c r="A7" i="2"/>
  <c r="B7" i="2"/>
  <c r="C7" i="2"/>
  <c r="A8" i="2"/>
  <c r="B8" i="2"/>
  <c r="C8" i="2"/>
  <c r="A9" i="2"/>
  <c r="B9" i="2"/>
  <c r="C9" i="2"/>
  <c r="A10" i="2"/>
  <c r="B10" i="2"/>
  <c r="C10" i="2"/>
  <c r="A11" i="2"/>
  <c r="B11" i="2"/>
  <c r="C11" i="2"/>
  <c r="A12" i="2"/>
  <c r="B12" i="2"/>
  <c r="C12" i="2"/>
  <c r="A13" i="2"/>
  <c r="B13" i="2"/>
  <c r="C13" i="2"/>
  <c r="A14" i="2"/>
  <c r="B14" i="2"/>
  <c r="C14" i="2"/>
  <c r="A15" i="2"/>
  <c r="B15" i="2"/>
  <c r="C15" i="2"/>
  <c r="A16" i="2"/>
  <c r="B16" i="2"/>
  <c r="C16" i="2"/>
  <c r="A17" i="2"/>
  <c r="B17" i="2"/>
  <c r="C17" i="2"/>
  <c r="A18" i="2"/>
  <c r="B18" i="2"/>
  <c r="C18" i="2"/>
  <c r="A19" i="2"/>
  <c r="B19" i="2"/>
  <c r="C19" i="2"/>
  <c r="A20" i="2"/>
  <c r="B20" i="2"/>
  <c r="C20" i="2"/>
  <c r="A21" i="2"/>
  <c r="B21" i="2"/>
  <c r="C21" i="2"/>
  <c r="A22" i="2"/>
  <c r="B22" i="2"/>
  <c r="C22" i="2"/>
  <c r="A23" i="2"/>
  <c r="B23" i="2"/>
  <c r="C23" i="2"/>
  <c r="A24" i="2"/>
  <c r="B24" i="2"/>
  <c r="C24" i="2"/>
  <c r="A25" i="2"/>
  <c r="B25" i="2"/>
  <c r="C25" i="2"/>
  <c r="A26" i="2"/>
  <c r="B26" i="2"/>
  <c r="C26" i="2"/>
  <c r="A27" i="2"/>
  <c r="B27" i="2"/>
  <c r="C27" i="2"/>
  <c r="A28" i="2"/>
  <c r="B28" i="2"/>
  <c r="C28" i="2"/>
  <c r="A29" i="2"/>
  <c r="B29" i="2"/>
  <c r="C29" i="2"/>
  <c r="F10" i="2"/>
  <c r="A41" i="1"/>
  <c r="D1" i="2"/>
  <c r="D2" i="2"/>
  <c r="D3" i="2"/>
  <c r="D4" i="2"/>
  <c r="D5" i="2"/>
  <c r="D6" i="2"/>
  <c r="D7" i="2"/>
  <c r="D8" i="2"/>
  <c r="D9" i="2"/>
  <c r="D10" i="2"/>
  <c r="D11" i="2"/>
  <c r="D12" i="2"/>
  <c r="D13" i="2"/>
  <c r="D14" i="2"/>
  <c r="D15" i="2"/>
  <c r="D16" i="2"/>
  <c r="D17" i="2"/>
  <c r="D18" i="2"/>
  <c r="D19" i="2"/>
  <c r="D20" i="2"/>
  <c r="D21" i="2"/>
  <c r="D22" i="2"/>
  <c r="D23" i="2"/>
  <c r="D24" i="2"/>
  <c r="D25" i="2"/>
  <c r="D26" i="2"/>
  <c r="D27" i="2"/>
  <c r="D28" i="2"/>
  <c r="D29" i="2"/>
  <c r="G1" i="2"/>
  <c r="G2" i="2"/>
  <c r="G6" i="2"/>
  <c r="G7" i="2"/>
  <c r="F11" i="2"/>
  <c r="E1" i="2"/>
  <c r="G3" i="2"/>
  <c r="G4" i="2"/>
  <c r="G5" i="2"/>
  <c r="F9" i="2"/>
  <c r="E2" i="2"/>
  <c r="E3" i="2"/>
  <c r="E4" i="2"/>
  <c r="E5" i="2"/>
  <c r="E6" i="2"/>
  <c r="E7" i="2"/>
  <c r="E8" i="2"/>
  <c r="E9" i="2"/>
  <c r="E10" i="2"/>
  <c r="E11" i="2"/>
  <c r="E12" i="2"/>
  <c r="E13" i="2"/>
  <c r="E14" i="2"/>
  <c r="E15" i="2"/>
  <c r="E16" i="2"/>
  <c r="E17" i="2"/>
  <c r="E18" i="2"/>
  <c r="E19" i="2"/>
  <c r="E20" i="2"/>
  <c r="E21" i="2"/>
  <c r="E22" i="2"/>
  <c r="E23" i="2"/>
  <c r="E24" i="2"/>
  <c r="E25" i="2"/>
  <c r="E26" i="2"/>
  <c r="E27" i="2"/>
  <c r="E28" i="2"/>
  <c r="E29" i="2"/>
  <c r="B43" i="1"/>
  <c r="B37" i="1"/>
</calcChain>
</file>

<file path=xl/sharedStrings.xml><?xml version="1.0" encoding="utf-8"?>
<sst xmlns="http://schemas.openxmlformats.org/spreadsheetml/2006/main" count="282" uniqueCount="134">
  <si>
    <t>EQUIVALENT ACRE FORMULA</t>
  </si>
  <si>
    <t>Category of Open Space Provided:</t>
  </si>
  <si>
    <t>Multiplier:</t>
  </si>
  <si>
    <t>Unimproved, not Sensitive Lands</t>
  </si>
  <si>
    <t>Open Space with no access</t>
  </si>
  <si>
    <t>Sensitive Lands - limited access</t>
  </si>
  <si>
    <t>Improvement of existing City owned open space</t>
  </si>
  <si>
    <t>Detention basin - limited access</t>
  </si>
  <si>
    <t>Detention basin - no access</t>
  </si>
  <si>
    <t>0 - no credit</t>
  </si>
  <si>
    <t>Partially Improved</t>
  </si>
  <si>
    <t>Fully improved with limited access</t>
  </si>
  <si>
    <t>Fully Improved with full access</t>
  </si>
  <si>
    <t>Park Size</t>
  </si>
  <si>
    <t>Min Points Per Required Equivalent Acre:</t>
  </si>
  <si>
    <t>0 - 2.49 Equivalent Acres</t>
  </si>
  <si>
    <t>2.5 - 4.99 Equivalent Acres</t>
  </si>
  <si>
    <t>5 - 9.99 Equivalent Acres</t>
  </si>
  <si>
    <t>10+ Equivalent Acres</t>
  </si>
  <si>
    <t>Item</t>
  </si>
  <si>
    <t>Min sq.ft per item</t>
  </si>
  <si>
    <t>Category</t>
  </si>
  <si>
    <t>Points per Item</t>
  </si>
  <si>
    <t>Ice rink - indoor facility</t>
  </si>
  <si>
    <t>n/a</t>
  </si>
  <si>
    <t>A</t>
  </si>
  <si>
    <t>Marina - public access (ramp to accommodate 4 boats min.)</t>
  </si>
  <si>
    <t>Amphitheater (structure)</t>
  </si>
  <si>
    <t>Ice rink - outdoor facility</t>
  </si>
  <si>
    <t>Baseball Diamond - Little League© size</t>
  </si>
  <si>
    <t>Skate Park - one pit</t>
  </si>
  <si>
    <t>Swimming Pool, 2 lane equivalent</t>
  </si>
  <si>
    <t>Amphitheater (100 person seating area)</t>
  </si>
  <si>
    <t>Splash Pad (25 people)</t>
  </si>
  <si>
    <t>B</t>
  </si>
  <si>
    <t>Restroom 3+ Toilets</t>
  </si>
  <si>
    <t>Play Field - full size (soccer, football, etc.)</t>
  </si>
  <si>
    <t>Tennis Court (post tension concrete with fencing)</t>
  </si>
  <si>
    <t>Trail, hard surface, per 1000 linear feet</t>
  </si>
  <si>
    <t>Restroom 1-2 Toilets</t>
  </si>
  <si>
    <t>Additional Equivalent Acre Above Requirement</t>
  </si>
  <si>
    <t>See Tables</t>
  </si>
  <si>
    <t>Pavilion - extra large (30'x40')</t>
  </si>
  <si>
    <t>C</t>
  </si>
  <si>
    <t>Pavilion - large (30'x32')</t>
  </si>
  <si>
    <t>Play field - half size</t>
  </si>
  <si>
    <t>Play or skate feature - eg rock wall or kicker, large</t>
  </si>
  <si>
    <t>Playground Structure (1-platform)</t>
  </si>
  <si>
    <t>Pavilion - (medium, 30'x24')</t>
  </si>
  <si>
    <t>Pickleball Court</t>
  </si>
  <si>
    <t>D</t>
  </si>
  <si>
    <t>Zipline - per 75' linear rideable line</t>
  </si>
  <si>
    <t>Basketball 1/2 court</t>
  </si>
  <si>
    <t>Pavilion (small, 30'x16')</t>
  </si>
  <si>
    <t>Personal Watercraft Dock</t>
  </si>
  <si>
    <t>Swingset</t>
  </si>
  <si>
    <t>Trail, soft surface, per 1000 linear feet</t>
  </si>
  <si>
    <t>Drinking fountain (freeze resistant w/pet bowl &amp; bottle filler)</t>
  </si>
  <si>
    <t>Horseshoes or similar</t>
  </si>
  <si>
    <t>E</t>
  </si>
  <si>
    <t>Bleachers - per section</t>
  </si>
  <si>
    <t>Volleyball pit</t>
  </si>
  <si>
    <t>Art - 1 statue, sculpture, or other single piece</t>
  </si>
  <si>
    <t>Table (6' aluminum)</t>
  </si>
  <si>
    <t>Tetherball or similar</t>
  </si>
  <si>
    <t>Trash Receptacle (32 gal)</t>
  </si>
  <si>
    <t>Workout station</t>
  </si>
  <si>
    <t>Bench</t>
  </si>
  <si>
    <t>BBQ Grill</t>
  </si>
  <si>
    <t>Bike Rack, 4-bike capacity</t>
  </si>
  <si>
    <t>Parking - 1 space (hard surface with drive aisle)</t>
  </si>
  <si>
    <t>P</t>
  </si>
  <si>
    <t>Parking - 1 space (soft surface with drive aisle)</t>
  </si>
  <si>
    <t>Equivalent Acres Required</t>
  </si>
  <si>
    <t>Points Earned</t>
  </si>
  <si>
    <t>Total Points</t>
  </si>
  <si>
    <t>Other:</t>
  </si>
  <si>
    <t>insert value in dollars here</t>
  </si>
  <si>
    <t>EQUIVALENT ACRES (EA) CALCULATOR</t>
  </si>
  <si>
    <t>Total</t>
  </si>
  <si>
    <t>EA Provided:</t>
  </si>
  <si>
    <t>Development Type</t>
  </si>
  <si>
    <t>Single Family</t>
  </si>
  <si>
    <t>Multi Family</t>
  </si>
  <si>
    <t>Single and Multi Family</t>
  </si>
  <si>
    <t>Minimum Open Space Percentage</t>
  </si>
  <si>
    <t>Multi-Family</t>
  </si>
  <si>
    <t>Sum of % for acreage of each type</t>
  </si>
  <si>
    <t>Minimum Actual OS Acreage</t>
  </si>
  <si>
    <t>Minimum # Amenity Points Required</t>
  </si>
  <si>
    <t>Checks &amp; Balances</t>
  </si>
  <si>
    <t>Form Completely Filled Out?</t>
  </si>
  <si>
    <t>Equivalent Acres Sufficient?</t>
  </si>
  <si>
    <t>Minimum Actual OS Acreage Sufficient?</t>
  </si>
  <si>
    <t>Minimum # Amenity Points Provided?</t>
  </si>
  <si>
    <t>Maximum Limit Sensitive, No access, Unimproved Met?</t>
  </si>
  <si>
    <t>Any Item Exceed 25.0% Required Points?</t>
  </si>
  <si>
    <t>Restroom</t>
  </si>
  <si>
    <t>1 Item from Categories C, D, and E?</t>
  </si>
  <si>
    <t>AMENITIES LIST SORTED ALPHABETICALLY</t>
  </si>
  <si>
    <t>AMENITIES LIST SORTED BY CATEGORY</t>
  </si>
  <si>
    <t>INSTRUCTIONS</t>
  </si>
  <si>
    <t>Fill out only the yellow boxes.</t>
  </si>
  <si>
    <t xml:space="preserve">Once the sheet is complete, the red boxes will alert you to any code deficiencies. </t>
  </si>
  <si>
    <t>1. Number of Total Units in Development</t>
  </si>
  <si>
    <t>3. Actual Acres Provided:</t>
  </si>
  <si>
    <t>2. Development Acreage by Type</t>
  </si>
  <si>
    <t>4. Amenities Provided</t>
  </si>
  <si>
    <t>5. Number Of items</t>
  </si>
  <si>
    <t>For your open space and/or park space, insert the number of acres for each type of open space. Definitions are below. Certain types cannot make up more than 50% of your requirement.</t>
  </si>
  <si>
    <t xml:space="preserve">A table of amenities is provided in alphabetized order, and another sorted by category, for your reference. Selecte one amenity type for each line. </t>
  </si>
  <si>
    <t xml:space="preserve">Insert the number of each type of amenity. Note that when points are calculated, no more than 25% of the points may be made up by any one item. </t>
  </si>
  <si>
    <t xml:space="preserve">Complete Code requirements can be found at this page under Land Development Code, under Chapter 19.19. </t>
  </si>
  <si>
    <t>www.SaratogaSpringsCity.com/planning</t>
  </si>
  <si>
    <t xml:space="preserve">Grey boxes with the labels below will direct you to the related yellow boxes. </t>
  </si>
  <si>
    <t xml:space="preserve">This is the cumulative total number of residential units, regardless of type or size. </t>
  </si>
  <si>
    <t>Insert the acres for any single family development, and acres for any multi-family development. The cumulative total must equal 100% of the residential development.</t>
  </si>
  <si>
    <t>Detention Basin, Limited Access</t>
  </si>
  <si>
    <t>Fully Improved</t>
  </si>
  <si>
    <t>Fully Improved with Limited Access</t>
  </si>
  <si>
    <t>Fully Improved with Full Access</t>
  </si>
  <si>
    <t>Native</t>
  </si>
  <si>
    <t>Open space with no access</t>
  </si>
  <si>
    <t>Sensitive Lands, limited access</t>
  </si>
  <si>
    <t>Unimproved</t>
  </si>
  <si>
    <t>A detention basin that is improved to provide access for recreational use when not storing water.</t>
  </si>
  <si>
    <t>Open space completely improved with turf or other live vegetation, and containing amenities equaling at least 75 points per acre.</t>
  </si>
  <si>
    <t xml:space="preserve">Fully improved open space with limitations to access, such as a pay-for-use golf course, limited hours for a cemetery, or similar limitation. </t>
  </si>
  <si>
    <t xml:space="preserve">Fully improved open space with no limitations on user access. </t>
  </si>
  <si>
    <t>The installation of natural landscaping commonly found in unimproved, un-manicured landscapes. This commonly refers to native species of grasses, forbs, and shrubs commonly found in undisturbed landscapes. Native landscape could include the restoration of disturbed areas by replacement of topsoil, native seeding by drilling method, and covering with a hydraulically applied wood fiber mulch.</t>
  </si>
  <si>
    <t>Open space with no user access or recreational benefit provided.</t>
  </si>
  <si>
    <t xml:space="preserve">Open space left in a native state, such as existing or new native grasses instead of turf, and with recreational amenities consisting of less than 75 points per acre. </t>
  </si>
  <si>
    <t xml:space="preserve">Open space consisting of wetlands, steep slopes, or other sensitive lands with some user access provided such as trails, boardwalks, or pavilions. </t>
  </si>
  <si>
    <t xml:space="preserve">Open space left or planted in a native state, without the addition of amenities.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</si>
</sst>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4" x14ac:knownFonts="1">
    <font>
      <sz val="12"/>
      <color theme="1"/>
      <name val="Calibri"/>
      <family val="2"/>
      <scheme val="minor"/>
    </font>
    <font>
      <b/>
      <sz val="11"/>
      <color rgb="FF000000"/>
      <name val="Calibri"/>
    </font>
    <font>
      <sz val="11"/>
      <color rgb="FF000000"/>
      <name val="Calibri"/>
    </font>
    <font>
      <b/>
      <sz val="11"/>
      <color theme="1"/>
      <name val="Calibri"/>
      <scheme val="minor"/>
    </font>
    <font>
      <sz val="11"/>
      <color theme="1"/>
      <name val="Calibri"/>
      <scheme val="minor"/>
    </font>
    <font>
      <b/>
      <sz val="12"/>
      <color theme="1"/>
      <name val="Calibri"/>
      <family val="2"/>
      <scheme val="minor"/>
    </font>
    <font>
      <b/>
      <sz val="13"/>
      <color theme="1"/>
      <name val="Calibri"/>
      <scheme val="minor"/>
    </font>
    <font>
      <sz val="13"/>
      <color theme="1"/>
      <name val="Calibri"/>
      <scheme val="minor"/>
    </font>
    <font>
      <sz val="15"/>
      <color theme="1"/>
      <name val="Calibri"/>
      <family val="2"/>
      <scheme val="minor"/>
    </font>
    <font>
      <u/>
      <sz val="12"/>
      <color theme="10"/>
      <name val="Calibri"/>
      <family val="2"/>
      <scheme val="minor"/>
    </font>
    <font>
      <b/>
      <u/>
      <sz val="15"/>
      <color theme="10"/>
      <name val="Calibri"/>
      <scheme val="minor"/>
    </font>
    <font>
      <b/>
      <sz val="19"/>
      <color theme="1"/>
      <name val="Calibri"/>
      <family val="2"/>
      <scheme val="minor"/>
    </font>
    <font>
      <sz val="19"/>
      <color theme="1"/>
      <name val="Calibri"/>
      <family val="2"/>
      <scheme val="minor"/>
    </font>
    <font>
      <sz val="12"/>
      <name val="Times New Roman"/>
    </font>
  </fonts>
  <fills count="6">
    <fill>
      <patternFill patternType="none"/>
    </fill>
    <fill>
      <patternFill patternType="gray125"/>
    </fill>
    <fill>
      <patternFill patternType="solid">
        <fgColor rgb="FFFFFF00"/>
        <bgColor indexed="64"/>
      </patternFill>
    </fill>
    <fill>
      <patternFill patternType="solid">
        <fgColor theme="5" tint="-0.249977111117893"/>
        <bgColor indexed="64"/>
      </patternFill>
    </fill>
    <fill>
      <patternFill patternType="solid">
        <fgColor theme="3" tint="0.79998168889431442"/>
        <bgColor indexed="64"/>
      </patternFill>
    </fill>
    <fill>
      <patternFill patternType="solid">
        <fgColor theme="5"/>
        <bgColor indexed="64"/>
      </patternFill>
    </fill>
  </fills>
  <borders count="53">
    <border>
      <left/>
      <right/>
      <top/>
      <bottom/>
      <diagonal/>
    </border>
    <border>
      <left style="thick">
        <color auto="1"/>
      </left>
      <right/>
      <top style="thick">
        <color auto="1"/>
      </top>
      <bottom style="medium">
        <color auto="1"/>
      </bottom>
      <diagonal/>
    </border>
    <border>
      <left/>
      <right style="thick">
        <color rgb="FF000000"/>
      </right>
      <top style="thick">
        <color auto="1"/>
      </top>
      <bottom style="medium">
        <color auto="1"/>
      </bottom>
      <diagonal/>
    </border>
    <border>
      <left style="thick">
        <color auto="1"/>
      </left>
      <right style="medium">
        <color auto="1"/>
      </right>
      <top/>
      <bottom style="medium">
        <color auto="1"/>
      </bottom>
      <diagonal/>
    </border>
    <border>
      <left/>
      <right style="thick">
        <color auto="1"/>
      </right>
      <top/>
      <bottom style="medium">
        <color auto="1"/>
      </bottom>
      <diagonal/>
    </border>
    <border>
      <left style="thick">
        <color auto="1"/>
      </left>
      <right style="medium">
        <color auto="1"/>
      </right>
      <top/>
      <bottom style="thick">
        <color auto="1"/>
      </bottom>
      <diagonal/>
    </border>
    <border>
      <left/>
      <right style="thick">
        <color auto="1"/>
      </right>
      <top/>
      <bottom style="thick">
        <color auto="1"/>
      </bottom>
      <diagonal/>
    </border>
    <border>
      <left style="thick">
        <color auto="1"/>
      </left>
      <right style="medium">
        <color auto="1"/>
      </right>
      <top style="thick">
        <color auto="1"/>
      </top>
      <bottom style="medium">
        <color auto="1"/>
      </bottom>
      <diagonal/>
    </border>
    <border>
      <left/>
      <right style="thick">
        <color auto="1"/>
      </right>
      <top style="thick">
        <color auto="1"/>
      </top>
      <bottom style="medium">
        <color auto="1"/>
      </bottom>
      <diagonal/>
    </border>
    <border>
      <left/>
      <right style="medium">
        <color auto="1"/>
      </right>
      <top style="thick">
        <color auto="1"/>
      </top>
      <bottom style="medium">
        <color auto="1"/>
      </bottom>
      <diagonal/>
    </border>
    <border>
      <left/>
      <right style="medium">
        <color auto="1"/>
      </right>
      <top/>
      <bottom style="medium">
        <color auto="1"/>
      </bottom>
      <diagonal/>
    </border>
    <border>
      <left style="thick">
        <color auto="1"/>
      </left>
      <right style="medium">
        <color auto="1"/>
      </right>
      <top/>
      <bottom/>
      <diagonal/>
    </border>
    <border>
      <left/>
      <right style="medium">
        <color auto="1"/>
      </right>
      <top/>
      <bottom/>
      <diagonal/>
    </border>
    <border>
      <left/>
      <right style="thick">
        <color auto="1"/>
      </right>
      <top/>
      <bottom/>
      <diagonal/>
    </border>
    <border>
      <left style="thick">
        <color auto="1"/>
      </left>
      <right style="medium">
        <color auto="1"/>
      </right>
      <top style="medium">
        <color auto="1"/>
      </top>
      <bottom style="medium">
        <color auto="1"/>
      </bottom>
      <diagonal/>
    </border>
    <border>
      <left/>
      <right style="medium">
        <color auto="1"/>
      </right>
      <top style="medium">
        <color auto="1"/>
      </top>
      <bottom style="medium">
        <color auto="1"/>
      </bottom>
      <diagonal/>
    </border>
    <border>
      <left/>
      <right style="thick">
        <color auto="1"/>
      </right>
      <top style="medium">
        <color auto="1"/>
      </top>
      <bottom style="medium">
        <color auto="1"/>
      </bottom>
      <diagonal/>
    </border>
    <border>
      <left style="thick">
        <color auto="1"/>
      </left>
      <right style="medium">
        <color auto="1"/>
      </right>
      <top style="thick">
        <color auto="1"/>
      </top>
      <bottom style="thin">
        <color auto="1"/>
      </bottom>
      <diagonal/>
    </border>
    <border>
      <left style="medium">
        <color auto="1"/>
      </left>
      <right style="thick">
        <color auto="1"/>
      </right>
      <top style="thick">
        <color auto="1"/>
      </top>
      <bottom style="thin">
        <color auto="1"/>
      </bottom>
      <diagonal/>
    </border>
    <border>
      <left style="thick">
        <color auto="1"/>
      </left>
      <right style="medium">
        <color auto="1"/>
      </right>
      <top style="thin">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thick">
        <color auto="1"/>
      </right>
      <top style="thin">
        <color auto="1"/>
      </top>
      <bottom style="thin">
        <color auto="1"/>
      </bottom>
      <diagonal/>
    </border>
    <border>
      <left style="thick">
        <color auto="1"/>
      </left>
      <right style="medium">
        <color auto="1"/>
      </right>
      <top style="thin">
        <color auto="1"/>
      </top>
      <bottom style="thick">
        <color auto="1"/>
      </bottom>
      <diagonal/>
    </border>
    <border>
      <left style="medium">
        <color auto="1"/>
      </left>
      <right style="thick">
        <color auto="1"/>
      </right>
      <top style="thin">
        <color auto="1"/>
      </top>
      <bottom style="thick">
        <color auto="1"/>
      </bottom>
      <diagonal/>
    </border>
    <border>
      <left style="thick">
        <color auto="1"/>
      </left>
      <right style="medium">
        <color auto="1"/>
      </right>
      <top style="thin">
        <color auto="1"/>
      </top>
      <bottom/>
      <diagonal/>
    </border>
    <border>
      <left style="medium">
        <color auto="1"/>
      </left>
      <right style="medium">
        <color auto="1"/>
      </right>
      <top style="thin">
        <color auto="1"/>
      </top>
      <bottom/>
      <diagonal/>
    </border>
    <border>
      <left style="medium">
        <color auto="1"/>
      </left>
      <right style="thick">
        <color auto="1"/>
      </right>
      <top style="thin">
        <color auto="1"/>
      </top>
      <bottom/>
      <diagonal/>
    </border>
    <border>
      <left style="thick">
        <color auto="1"/>
      </left>
      <right style="medium">
        <color auto="1"/>
      </right>
      <top style="medium">
        <color auto="1"/>
      </top>
      <bottom style="thick">
        <color auto="1"/>
      </bottom>
      <diagonal/>
    </border>
    <border>
      <left style="medium">
        <color auto="1"/>
      </left>
      <right style="medium">
        <color auto="1"/>
      </right>
      <top style="medium">
        <color auto="1"/>
      </top>
      <bottom style="thick">
        <color auto="1"/>
      </bottom>
      <diagonal/>
    </border>
    <border>
      <left style="medium">
        <color auto="1"/>
      </left>
      <right style="thick">
        <color auto="1"/>
      </right>
      <top style="medium">
        <color auto="1"/>
      </top>
      <bottom style="thick">
        <color auto="1"/>
      </bottom>
      <diagonal/>
    </border>
    <border>
      <left style="thick">
        <color auto="1"/>
      </left>
      <right style="medium">
        <color auto="1"/>
      </right>
      <top/>
      <bottom style="thin">
        <color auto="1"/>
      </bottom>
      <diagonal/>
    </border>
    <border>
      <left style="medium">
        <color auto="1"/>
      </left>
      <right style="medium">
        <color auto="1"/>
      </right>
      <top/>
      <bottom style="thin">
        <color auto="1"/>
      </bottom>
      <diagonal/>
    </border>
    <border>
      <left style="medium">
        <color auto="1"/>
      </left>
      <right style="thick">
        <color auto="1"/>
      </right>
      <top/>
      <bottom style="thin">
        <color auto="1"/>
      </bottom>
      <diagonal/>
    </border>
    <border>
      <left style="medium">
        <color auto="1"/>
      </left>
      <right style="medium">
        <color auto="1"/>
      </right>
      <top style="thick">
        <color auto="1"/>
      </top>
      <bottom style="medium">
        <color auto="1"/>
      </bottom>
      <diagonal/>
    </border>
    <border>
      <left style="medium">
        <color auto="1"/>
      </left>
      <right style="thick">
        <color auto="1"/>
      </right>
      <top style="thick">
        <color auto="1"/>
      </top>
      <bottom style="medium">
        <color auto="1"/>
      </bottom>
      <diagonal/>
    </border>
    <border>
      <left style="thick">
        <color auto="1"/>
      </left>
      <right style="medium">
        <color auto="1"/>
      </right>
      <top style="medium">
        <color auto="1"/>
      </top>
      <bottom style="thin">
        <color auto="1"/>
      </bottom>
      <diagonal/>
    </border>
    <border>
      <left style="medium">
        <color auto="1"/>
      </left>
      <right style="thick">
        <color auto="1"/>
      </right>
      <top style="medium">
        <color auto="1"/>
      </top>
      <bottom style="thin">
        <color auto="1"/>
      </bottom>
      <diagonal/>
    </border>
    <border>
      <left style="thick">
        <color auto="1"/>
      </left>
      <right/>
      <top/>
      <bottom style="medium">
        <color auto="1"/>
      </bottom>
      <diagonal/>
    </border>
    <border>
      <left style="thick">
        <color auto="1"/>
      </left>
      <right/>
      <top/>
      <bottom style="thick">
        <color auto="1"/>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style="thick">
        <color auto="1"/>
      </left>
      <right/>
      <top style="thick">
        <color auto="1"/>
      </top>
      <bottom style="thin">
        <color auto="1"/>
      </bottom>
      <diagonal/>
    </border>
    <border>
      <left/>
      <right style="thick">
        <color auto="1"/>
      </right>
      <top style="thick">
        <color auto="1"/>
      </top>
      <bottom style="thin">
        <color auto="1"/>
      </bottom>
      <diagonal/>
    </border>
    <border>
      <left style="medium">
        <color auto="1"/>
      </left>
      <right style="thick">
        <color auto="1"/>
      </right>
      <top/>
      <bottom style="thick">
        <color auto="1"/>
      </bottom>
      <diagonal/>
    </border>
    <border>
      <left style="thick">
        <color auto="1"/>
      </left>
      <right style="medium">
        <color auto="1"/>
      </right>
      <top style="thin">
        <color auto="1"/>
      </top>
      <bottom style="medium">
        <color auto="1"/>
      </bottom>
      <diagonal/>
    </border>
    <border>
      <left style="medium">
        <color auto="1"/>
      </left>
      <right style="thick">
        <color auto="1"/>
      </right>
      <top style="thin">
        <color auto="1"/>
      </top>
      <bottom style="medium">
        <color auto="1"/>
      </bottom>
      <diagonal/>
    </border>
    <border>
      <left style="thin">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s>
  <cellStyleXfs count="2">
    <xf numFmtId="0" fontId="0" fillId="0" borderId="0"/>
    <xf numFmtId="0" fontId="9" fillId="0" borderId="0" applyNumberFormat="0" applyFill="0" applyBorder="0" applyAlignment="0" applyProtection="0"/>
  </cellStyleXfs>
  <cellXfs count="109">
    <xf numFmtId="0" fontId="0" fillId="0" borderId="0" xfId="0"/>
    <xf numFmtId="0" fontId="1" fillId="0" borderId="3" xfId="0" applyFont="1" applyBorder="1" applyAlignment="1">
      <alignment horizontal="right" vertical="center"/>
    </xf>
    <xf numFmtId="0" fontId="1" fillId="0" borderId="4" xfId="0" applyFont="1" applyBorder="1" applyAlignment="1">
      <alignment horizontal="center" vertical="center"/>
    </xf>
    <xf numFmtId="0" fontId="2" fillId="0" borderId="3" xfId="0" applyFont="1" applyBorder="1" applyAlignment="1">
      <alignment horizontal="right" vertical="center"/>
    </xf>
    <xf numFmtId="0" fontId="2" fillId="0" borderId="4" xfId="0" applyFont="1" applyBorder="1" applyAlignment="1">
      <alignment horizontal="center" vertical="center"/>
    </xf>
    <xf numFmtId="0" fontId="2" fillId="0" borderId="5" xfId="0" applyFont="1" applyBorder="1" applyAlignment="1">
      <alignment horizontal="right" vertical="center"/>
    </xf>
    <xf numFmtId="0" fontId="2" fillId="0" borderId="6" xfId="0" applyFont="1" applyBorder="1" applyAlignment="1">
      <alignment horizontal="center" vertical="center"/>
    </xf>
    <xf numFmtId="0" fontId="1" fillId="0" borderId="7" xfId="0" applyFont="1" applyBorder="1" applyAlignment="1">
      <alignment vertical="center"/>
    </xf>
    <xf numFmtId="0" fontId="1" fillId="0" borderId="8" xfId="0" applyFont="1" applyBorder="1" applyAlignment="1">
      <alignment horizontal="center" vertical="center"/>
    </xf>
    <xf numFmtId="0" fontId="2" fillId="0" borderId="3" xfId="0" applyFont="1" applyBorder="1" applyAlignment="1">
      <alignment vertical="center"/>
    </xf>
    <xf numFmtId="0" fontId="2" fillId="0" borderId="5" xfId="0" applyFont="1" applyBorder="1" applyAlignment="1">
      <alignment vertical="center"/>
    </xf>
    <xf numFmtId="0" fontId="2" fillId="0" borderId="10" xfId="0" applyFont="1" applyBorder="1" applyAlignment="1">
      <alignment horizontal="center" vertical="center"/>
    </xf>
    <xf numFmtId="0" fontId="2" fillId="0" borderId="11" xfId="0" applyFont="1" applyBorder="1" applyAlignment="1">
      <alignment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vertical="center"/>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1" fillId="0" borderId="37" xfId="0" applyFont="1" applyBorder="1" applyAlignment="1">
      <alignment horizontal="right" vertical="center"/>
    </xf>
    <xf numFmtId="0" fontId="2" fillId="0" borderId="37" xfId="0" applyFont="1" applyBorder="1" applyAlignment="1">
      <alignment horizontal="right" vertical="center"/>
    </xf>
    <xf numFmtId="0" fontId="2" fillId="0" borderId="38" xfId="0" applyFont="1" applyBorder="1" applyAlignment="1">
      <alignment horizontal="right" vertical="center"/>
    </xf>
    <xf numFmtId="0" fontId="4" fillId="0" borderId="0" xfId="0" applyFont="1"/>
    <xf numFmtId="0" fontId="3" fillId="0" borderId="17" xfId="0" applyFont="1" applyBorder="1"/>
    <xf numFmtId="0" fontId="4" fillId="0" borderId="35" xfId="0" applyFont="1" applyBorder="1"/>
    <xf numFmtId="0" fontId="1" fillId="0" borderId="6" xfId="0" applyFont="1" applyBorder="1" applyAlignment="1">
      <alignment horizontal="center" vertical="center"/>
    </xf>
    <xf numFmtId="0" fontId="4" fillId="0" borderId="27" xfId="0" applyFont="1" applyBorder="1"/>
    <xf numFmtId="0" fontId="3" fillId="0" borderId="28" xfId="0" applyFont="1" applyBorder="1"/>
    <xf numFmtId="0" fontId="4" fillId="0" borderId="19" xfId="0" applyFont="1" applyBorder="1" applyAlignment="1">
      <alignment horizontal="right"/>
    </xf>
    <xf numFmtId="0" fontId="4" fillId="0" borderId="22" xfId="0" applyFont="1" applyBorder="1" applyAlignment="1">
      <alignment horizontal="right"/>
    </xf>
    <xf numFmtId="0" fontId="4" fillId="0" borderId="23" xfId="0" applyFont="1" applyBorder="1" applyAlignment="1">
      <alignment horizontal="center"/>
    </xf>
    <xf numFmtId="0" fontId="4" fillId="0" borderId="19" xfId="0" applyFont="1" applyFill="1" applyBorder="1" applyAlignment="1">
      <alignment horizontal="right"/>
    </xf>
    <xf numFmtId="0" fontId="4" fillId="0" borderId="24" xfId="0" applyFont="1" applyFill="1" applyBorder="1" applyAlignment="1">
      <alignment horizontal="right"/>
    </xf>
    <xf numFmtId="0" fontId="3" fillId="0" borderId="27" xfId="0" applyFont="1" applyBorder="1"/>
    <xf numFmtId="0" fontId="3" fillId="0" borderId="28" xfId="0" applyFont="1" applyBorder="1" applyAlignment="1">
      <alignment horizontal="right"/>
    </xf>
    <xf numFmtId="0" fontId="3" fillId="0" borderId="32" xfId="0" applyFont="1" applyBorder="1" applyAlignment="1">
      <alignment horizontal="center"/>
    </xf>
    <xf numFmtId="0" fontId="4" fillId="0" borderId="21" xfId="0" applyFont="1" applyBorder="1" applyAlignment="1">
      <alignment horizontal="center"/>
    </xf>
    <xf numFmtId="0" fontId="4" fillId="0" borderId="26" xfId="0" applyFont="1" applyBorder="1" applyAlignment="1">
      <alignment horizontal="center"/>
    </xf>
    <xf numFmtId="0" fontId="4" fillId="0" borderId="0" xfId="0" applyFont="1" applyAlignment="1">
      <alignment horizontal="center"/>
    </xf>
    <xf numFmtId="0" fontId="3" fillId="0" borderId="34" xfId="0" applyFont="1" applyBorder="1" applyAlignment="1">
      <alignment horizontal="center"/>
    </xf>
    <xf numFmtId="0" fontId="4" fillId="0" borderId="32" xfId="0" applyFont="1" applyBorder="1" applyAlignment="1">
      <alignment horizontal="center"/>
    </xf>
    <xf numFmtId="0" fontId="3" fillId="0" borderId="29" xfId="0" applyFont="1" applyBorder="1" applyAlignment="1">
      <alignment horizontal="center"/>
    </xf>
    <xf numFmtId="0" fontId="3" fillId="0" borderId="18" xfId="0" applyFont="1" applyBorder="1" applyAlignment="1">
      <alignment horizontal="center"/>
    </xf>
    <xf numFmtId="0" fontId="3" fillId="0" borderId="36" xfId="0" applyFont="1" applyBorder="1" applyAlignment="1">
      <alignment horizontal="center"/>
    </xf>
    <xf numFmtId="0" fontId="4" fillId="0" borderId="18" xfId="0" applyFont="1" applyBorder="1" applyAlignment="1">
      <alignment horizontal="center"/>
    </xf>
    <xf numFmtId="9" fontId="4" fillId="0" borderId="21" xfId="0" applyNumberFormat="1" applyFont="1" applyBorder="1" applyAlignment="1">
      <alignment horizontal="center"/>
    </xf>
    <xf numFmtId="0" fontId="4" fillId="2" borderId="24" xfId="0" applyFont="1" applyFill="1" applyBorder="1" applyProtection="1">
      <protection locked="0"/>
    </xf>
    <xf numFmtId="0" fontId="4" fillId="2" borderId="20" xfId="0" applyFont="1" applyFill="1" applyBorder="1" applyProtection="1">
      <protection locked="0"/>
    </xf>
    <xf numFmtId="0" fontId="4" fillId="2" borderId="25" xfId="0" applyFont="1" applyFill="1" applyBorder="1" applyProtection="1">
      <protection locked="0"/>
    </xf>
    <xf numFmtId="0" fontId="4" fillId="2" borderId="30" xfId="0" applyFont="1" applyFill="1" applyBorder="1" applyProtection="1">
      <protection locked="0"/>
    </xf>
    <xf numFmtId="0" fontId="4" fillId="2" borderId="31" xfId="0" applyFont="1" applyFill="1" applyBorder="1" applyProtection="1">
      <protection locked="0"/>
    </xf>
    <xf numFmtId="0" fontId="4" fillId="2" borderId="19" xfId="0" applyFont="1" applyFill="1" applyBorder="1" applyProtection="1">
      <protection locked="0"/>
    </xf>
    <xf numFmtId="0" fontId="4" fillId="2" borderId="20" xfId="0" applyFont="1" applyFill="1" applyBorder="1" applyAlignment="1" applyProtection="1">
      <alignment horizontal="center"/>
      <protection locked="0"/>
    </xf>
    <xf numFmtId="0" fontId="4" fillId="2" borderId="25" xfId="0" applyFont="1" applyFill="1" applyBorder="1" applyAlignment="1" applyProtection="1">
      <alignment horizontal="center"/>
      <protection locked="0"/>
    </xf>
    <xf numFmtId="2" fontId="4" fillId="2" borderId="21" xfId="0" applyNumberFormat="1" applyFont="1" applyFill="1" applyBorder="1" applyAlignment="1" applyProtection="1">
      <alignment horizontal="center"/>
      <protection locked="0"/>
    </xf>
    <xf numFmtId="2" fontId="4" fillId="2" borderId="26" xfId="0" applyNumberFormat="1" applyFont="1" applyFill="1" applyBorder="1" applyAlignment="1" applyProtection="1">
      <alignment horizontal="center"/>
      <protection locked="0"/>
    </xf>
    <xf numFmtId="2" fontId="4" fillId="0" borderId="29" xfId="0" applyNumberFormat="1" applyFont="1" applyBorder="1" applyAlignment="1">
      <alignment horizontal="center"/>
    </xf>
    <xf numFmtId="2" fontId="4" fillId="0" borderId="26" xfId="0" applyNumberFormat="1" applyFont="1" applyBorder="1" applyAlignment="1">
      <alignment horizontal="center"/>
    </xf>
    <xf numFmtId="2" fontId="4" fillId="0" borderId="28" xfId="0" applyNumberFormat="1" applyFont="1" applyBorder="1" applyAlignment="1">
      <alignment horizontal="center"/>
    </xf>
    <xf numFmtId="2" fontId="4" fillId="0" borderId="21" xfId="0" applyNumberFormat="1" applyFont="1" applyBorder="1" applyAlignment="1">
      <alignment horizontal="center"/>
    </xf>
    <xf numFmtId="2" fontId="4" fillId="0" borderId="0" xfId="0" applyNumberFormat="1" applyFont="1"/>
    <xf numFmtId="0" fontId="4" fillId="0" borderId="23" xfId="0" applyNumberFormat="1" applyFont="1" applyBorder="1" applyAlignment="1">
      <alignment horizontal="center"/>
    </xf>
    <xf numFmtId="164" fontId="0" fillId="0" borderId="0" xfId="0" applyNumberFormat="1"/>
    <xf numFmtId="0" fontId="5" fillId="0" borderId="0" xfId="0" applyFont="1"/>
    <xf numFmtId="0" fontId="4" fillId="3" borderId="21" xfId="0" applyFont="1" applyFill="1" applyBorder="1" applyAlignment="1">
      <alignment horizontal="center"/>
    </xf>
    <xf numFmtId="0" fontId="4" fillId="3" borderId="23" xfId="0" applyFont="1" applyFill="1" applyBorder="1" applyAlignment="1">
      <alignment horizontal="center"/>
    </xf>
    <xf numFmtId="0" fontId="4" fillId="3" borderId="19" xfId="0" applyFont="1" applyFill="1" applyBorder="1" applyAlignment="1">
      <alignment horizontal="right"/>
    </xf>
    <xf numFmtId="0" fontId="4" fillId="3" borderId="22" xfId="0" applyFont="1" applyFill="1" applyBorder="1" applyAlignment="1">
      <alignment horizontal="right"/>
    </xf>
    <xf numFmtId="0" fontId="1" fillId="0" borderId="7" xfId="0" applyFont="1" applyBorder="1" applyAlignment="1" applyProtection="1">
      <alignment horizontal="center" vertical="center"/>
      <protection locked="0"/>
    </xf>
    <xf numFmtId="0" fontId="1" fillId="0" borderId="9" xfId="0" applyFont="1" applyBorder="1" applyAlignment="1" applyProtection="1">
      <alignment horizontal="center" vertical="center"/>
      <protection locked="0"/>
    </xf>
    <xf numFmtId="0" fontId="1" fillId="0" borderId="8" xfId="0" applyFont="1" applyBorder="1" applyAlignment="1" applyProtection="1">
      <alignment horizontal="center" vertical="center"/>
      <protection locked="0"/>
    </xf>
    <xf numFmtId="0" fontId="3" fillId="4" borderId="17" xfId="0" applyFont="1" applyFill="1" applyBorder="1"/>
    <xf numFmtId="0" fontId="4" fillId="4" borderId="18" xfId="0" applyFont="1" applyFill="1" applyBorder="1" applyAlignment="1">
      <alignment horizontal="center"/>
    </xf>
    <xf numFmtId="0" fontId="3" fillId="4" borderId="31" xfId="0" applyFont="1" applyFill="1" applyBorder="1" applyAlignment="1">
      <alignment horizontal="center"/>
    </xf>
    <xf numFmtId="0" fontId="3" fillId="4" borderId="7" xfId="0" applyFont="1" applyFill="1" applyBorder="1"/>
    <xf numFmtId="0" fontId="3" fillId="4" borderId="33" xfId="0" applyFont="1" applyFill="1" applyBorder="1"/>
    <xf numFmtId="0" fontId="0" fillId="0" borderId="0" xfId="0" applyAlignment="1">
      <alignment wrapText="1"/>
    </xf>
    <xf numFmtId="0" fontId="8" fillId="0" borderId="36" xfId="0" applyFont="1" applyBorder="1" applyAlignment="1">
      <alignment vertical="center" wrapText="1"/>
    </xf>
    <xf numFmtId="0" fontId="8" fillId="0" borderId="21" xfId="0" applyFont="1" applyBorder="1" applyAlignment="1">
      <alignment vertical="center" wrapText="1"/>
    </xf>
    <xf numFmtId="0" fontId="8" fillId="0" borderId="46" xfId="0" applyFont="1" applyBorder="1" applyAlignment="1">
      <alignment vertical="center" wrapText="1"/>
    </xf>
    <xf numFmtId="0" fontId="8" fillId="0" borderId="36" xfId="0" applyFont="1" applyBorder="1" applyAlignment="1">
      <alignment vertical="center"/>
    </xf>
    <xf numFmtId="0" fontId="8" fillId="4" borderId="35" xfId="0" applyFont="1" applyFill="1" applyBorder="1" applyAlignment="1">
      <alignment horizontal="right" vertical="center"/>
    </xf>
    <xf numFmtId="0" fontId="8" fillId="4" borderId="19" xfId="0" applyFont="1" applyFill="1" applyBorder="1" applyAlignment="1">
      <alignment horizontal="right" vertical="center"/>
    </xf>
    <xf numFmtId="0" fontId="8" fillId="4" borderId="45" xfId="0" applyFont="1" applyFill="1" applyBorder="1" applyAlignment="1">
      <alignment horizontal="right" vertical="center"/>
    </xf>
    <xf numFmtId="0" fontId="10" fillId="0" borderId="35" xfId="1" applyFont="1" applyFill="1" applyBorder="1" applyAlignment="1">
      <alignment horizontal="center" vertical="center"/>
    </xf>
    <xf numFmtId="0" fontId="2" fillId="0" borderId="0" xfId="0" applyFont="1" applyBorder="1" applyAlignment="1">
      <alignment horizontal="right" vertical="center"/>
    </xf>
    <xf numFmtId="0" fontId="0" fillId="0" borderId="47" xfId="0" applyBorder="1" applyAlignment="1">
      <alignment horizontal="right"/>
    </xf>
    <xf numFmtId="0" fontId="13" fillId="0" borderId="48" xfId="0" applyFont="1" applyBorder="1" applyAlignment="1">
      <alignment wrapText="1"/>
    </xf>
    <xf numFmtId="0" fontId="0" fillId="0" borderId="49" xfId="0" applyBorder="1" applyAlignment="1">
      <alignment horizontal="right"/>
    </xf>
    <xf numFmtId="0" fontId="13" fillId="0" borderId="50" xfId="0" applyFont="1" applyBorder="1" applyAlignment="1">
      <alignment wrapText="1"/>
    </xf>
    <xf numFmtId="0" fontId="0" fillId="0" borderId="51" xfId="0" applyBorder="1" applyAlignment="1">
      <alignment horizontal="right"/>
    </xf>
    <xf numFmtId="0" fontId="13" fillId="0" borderId="52" xfId="0" applyFont="1" applyBorder="1" applyAlignment="1">
      <alignment wrapText="1"/>
    </xf>
    <xf numFmtId="0" fontId="8" fillId="2" borderId="19" xfId="0" applyFont="1" applyFill="1" applyBorder="1" applyAlignment="1">
      <alignment horizontal="left" vertical="center"/>
    </xf>
    <xf numFmtId="0" fontId="8" fillId="2" borderId="21" xfId="0" applyFont="1" applyFill="1" applyBorder="1" applyAlignment="1">
      <alignment horizontal="left" vertical="center"/>
    </xf>
    <xf numFmtId="0" fontId="8" fillId="5" borderId="5" xfId="0" applyFont="1" applyFill="1" applyBorder="1" applyAlignment="1">
      <alignment horizontal="left" vertical="center"/>
    </xf>
    <xf numFmtId="0" fontId="8" fillId="5" borderId="44" xfId="0" applyFont="1" applyFill="1" applyBorder="1" applyAlignment="1">
      <alignment horizontal="left" vertical="center"/>
    </xf>
    <xf numFmtId="0" fontId="8" fillId="4" borderId="24" xfId="0" applyFont="1" applyFill="1" applyBorder="1" applyAlignment="1">
      <alignment horizontal="left" vertical="center"/>
    </xf>
    <xf numFmtId="0" fontId="8" fillId="4" borderId="26" xfId="0" applyFont="1" applyFill="1" applyBorder="1" applyAlignment="1">
      <alignment horizontal="left" vertical="center"/>
    </xf>
    <xf numFmtId="0" fontId="11" fillId="0" borderId="17" xfId="0" applyFont="1" applyBorder="1" applyAlignment="1">
      <alignment horizontal="center" vertical="center"/>
    </xf>
    <xf numFmtId="0" fontId="12" fillId="0" borderId="18" xfId="0" applyFont="1" applyBorder="1" applyAlignment="1">
      <alignment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9" xfId="0" applyFont="1" applyBorder="1" applyAlignment="1">
      <alignment horizontal="center" vertical="center"/>
    </xf>
    <xf numFmtId="0" fontId="1" fillId="0" borderId="40" xfId="0" applyFont="1" applyBorder="1" applyAlignment="1">
      <alignment horizontal="center" vertical="center"/>
    </xf>
    <xf numFmtId="0" fontId="4" fillId="0" borderId="41" xfId="0" applyFont="1" applyBorder="1" applyAlignment="1"/>
    <xf numFmtId="0" fontId="6" fillId="3" borderId="42" xfId="0" applyFont="1" applyFill="1" applyBorder="1" applyAlignment="1">
      <alignment horizontal="center"/>
    </xf>
    <xf numFmtId="0" fontId="7" fillId="3" borderId="43" xfId="0" applyFont="1" applyFill="1" applyBorder="1" applyAlignment="1">
      <alignment horizontal="center"/>
    </xf>
    <xf numFmtId="0" fontId="3" fillId="0" borderId="39" xfId="0" applyFont="1" applyBorder="1" applyAlignment="1">
      <alignment horizontal="center"/>
    </xf>
    <xf numFmtId="0" fontId="5" fillId="0" borderId="40" xfId="0" applyFont="1" applyBorder="1" applyAlignment="1">
      <alignment horizontal="center"/>
    </xf>
    <xf numFmtId="0" fontId="5" fillId="0" borderId="41" xfId="0" applyFont="1" applyBorder="1" applyAlignment="1">
      <alignment horizontal="center"/>
    </xf>
  </cellXfs>
  <cellStyles count="2">
    <cellStyle name="Hyperlink" xfId="1" builtinId="8"/>
    <cellStyle name="Normal" xfId="0" builtinId="0"/>
  </cellStyles>
  <dxfs count="0"/>
  <tableStyles count="0" defaultTableStyle="TableStyleMedium9" defaultPivotStyle="PivotStyleMedium7"/>
  <colors>
    <mruColors>
      <color rgb="FFEC5836"/>
      <color rgb="FFF9590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 Id="rId7"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saratogaspringscity.com/plann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3"/>
  <sheetViews>
    <sheetView workbookViewId="0">
      <selection activeCell="B24" sqref="B24"/>
    </sheetView>
  </sheetViews>
  <sheetFormatPr baseColWidth="10" defaultRowHeight="16" x14ac:dyDescent="0.2"/>
  <cols>
    <col min="1" max="1" width="49" customWidth="1"/>
    <col min="2" max="2" width="122.5" style="75" customWidth="1"/>
  </cols>
  <sheetData>
    <row r="1" spans="1:2" ht="44" customHeight="1" thickTop="1" x14ac:dyDescent="0.2">
      <c r="A1" s="97" t="s">
        <v>101</v>
      </c>
      <c r="B1" s="98"/>
    </row>
    <row r="2" spans="1:2" ht="33" customHeight="1" x14ac:dyDescent="0.2">
      <c r="A2" s="91" t="s">
        <v>102</v>
      </c>
      <c r="B2" s="92"/>
    </row>
    <row r="3" spans="1:2" ht="33" customHeight="1" thickBot="1" x14ac:dyDescent="0.25">
      <c r="A3" s="95" t="s">
        <v>114</v>
      </c>
      <c r="B3" s="96"/>
    </row>
    <row r="4" spans="1:2" ht="33" customHeight="1" x14ac:dyDescent="0.2">
      <c r="A4" s="80" t="str">
        <f>Calculator!A13</f>
        <v>1. Number of Total Units in Development</v>
      </c>
      <c r="B4" s="76" t="s">
        <v>115</v>
      </c>
    </row>
    <row r="5" spans="1:2" ht="44" customHeight="1" x14ac:dyDescent="0.2">
      <c r="A5" s="81" t="str">
        <f>Calculator!B24</f>
        <v>2. Development Acreage by Type</v>
      </c>
      <c r="B5" s="77" t="s">
        <v>116</v>
      </c>
    </row>
    <row r="6" spans="1:2" ht="45" customHeight="1" x14ac:dyDescent="0.2">
      <c r="A6" s="81" t="str">
        <f>Calculator!E2</f>
        <v>3. Actual Acres Provided:</v>
      </c>
      <c r="B6" s="77" t="s">
        <v>109</v>
      </c>
    </row>
    <row r="7" spans="1:2" ht="45" customHeight="1" x14ac:dyDescent="0.2">
      <c r="A7" s="81" t="str">
        <f>Calculator!D14</f>
        <v>4. Amenities Provided</v>
      </c>
      <c r="B7" s="77" t="s">
        <v>110</v>
      </c>
    </row>
    <row r="8" spans="1:2" ht="45" customHeight="1" thickBot="1" x14ac:dyDescent="0.25">
      <c r="A8" s="82" t="str">
        <f>Calculator!E14</f>
        <v>5. Number Of items</v>
      </c>
      <c r="B8" s="78" t="s">
        <v>111</v>
      </c>
    </row>
    <row r="9" spans="1:2" ht="45" customHeight="1" x14ac:dyDescent="0.2">
      <c r="A9" s="83" t="s">
        <v>113</v>
      </c>
      <c r="B9" s="79" t="s">
        <v>112</v>
      </c>
    </row>
    <row r="10" spans="1:2" ht="33" customHeight="1" thickBot="1" x14ac:dyDescent="0.25">
      <c r="A10" s="93" t="s">
        <v>103</v>
      </c>
      <c r="B10" s="94"/>
    </row>
    <row r="11" spans="1:2" ht="17" thickTop="1" x14ac:dyDescent="0.2"/>
    <row r="12" spans="1:2" x14ac:dyDescent="0.2">
      <c r="A12" s="85" t="s">
        <v>117</v>
      </c>
      <c r="B12" s="86" t="s">
        <v>125</v>
      </c>
    </row>
    <row r="13" spans="1:2" x14ac:dyDescent="0.2">
      <c r="A13" s="87" t="s">
        <v>118</v>
      </c>
      <c r="B13" s="88" t="s">
        <v>126</v>
      </c>
    </row>
    <row r="14" spans="1:2" x14ac:dyDescent="0.2">
      <c r="A14" s="87" t="s">
        <v>119</v>
      </c>
      <c r="B14" s="88" t="s">
        <v>127</v>
      </c>
    </row>
    <row r="15" spans="1:2" x14ac:dyDescent="0.2">
      <c r="A15" s="87" t="s">
        <v>120</v>
      </c>
      <c r="B15" s="88" t="s">
        <v>128</v>
      </c>
    </row>
    <row r="16" spans="1:2" ht="48" x14ac:dyDescent="0.2">
      <c r="A16" s="87" t="s">
        <v>121</v>
      </c>
      <c r="B16" s="88" t="s">
        <v>129</v>
      </c>
    </row>
    <row r="17" spans="1:2" x14ac:dyDescent="0.2">
      <c r="A17" s="87" t="s">
        <v>122</v>
      </c>
      <c r="B17" s="88" t="s">
        <v>130</v>
      </c>
    </row>
    <row r="18" spans="1:2" ht="32" x14ac:dyDescent="0.2">
      <c r="A18" s="87" t="s">
        <v>10</v>
      </c>
      <c r="B18" s="88" t="s">
        <v>131</v>
      </c>
    </row>
    <row r="19" spans="1:2" x14ac:dyDescent="0.2">
      <c r="A19" s="87" t="s">
        <v>123</v>
      </c>
      <c r="B19" s="88" t="s">
        <v>132</v>
      </c>
    </row>
    <row r="20" spans="1:2" x14ac:dyDescent="0.2">
      <c r="A20" s="89" t="s">
        <v>124</v>
      </c>
      <c r="B20" s="90" t="s">
        <v>133</v>
      </c>
    </row>
    <row r="25" spans="1:2" x14ac:dyDescent="0.2">
      <c r="B25" s="84"/>
    </row>
    <row r="26" spans="1:2" x14ac:dyDescent="0.2">
      <c r="B26" s="84"/>
    </row>
    <row r="27" spans="1:2" x14ac:dyDescent="0.2">
      <c r="B27" s="84"/>
    </row>
    <row r="28" spans="1:2" x14ac:dyDescent="0.2">
      <c r="B28" s="84"/>
    </row>
    <row r="29" spans="1:2" x14ac:dyDescent="0.2">
      <c r="B29" s="84"/>
    </row>
    <row r="30" spans="1:2" x14ac:dyDescent="0.2">
      <c r="B30" s="84"/>
    </row>
    <row r="31" spans="1:2" x14ac:dyDescent="0.2">
      <c r="B31" s="84"/>
    </row>
    <row r="32" spans="1:2" x14ac:dyDescent="0.2">
      <c r="B32" s="84"/>
    </row>
    <row r="33" spans="2:2" x14ac:dyDescent="0.2">
      <c r="B33" s="84"/>
    </row>
  </sheetData>
  <sheetProtection password="ED39" sheet="1" objects="1" scenarios="1"/>
  <mergeCells count="4">
    <mergeCell ref="A2:B2"/>
    <mergeCell ref="A10:B10"/>
    <mergeCell ref="A3:B3"/>
    <mergeCell ref="A1:B1"/>
  </mergeCells>
  <hyperlinks>
    <hyperlink ref="A9"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5"/>
  <sheetViews>
    <sheetView tabSelected="1" zoomScale="140" zoomScaleNormal="140" zoomScalePageLayoutView="140" workbookViewId="0">
      <selection activeCell="D8" sqref="D8"/>
    </sheetView>
  </sheetViews>
  <sheetFormatPr baseColWidth="10" defaultRowHeight="15" x14ac:dyDescent="0.2"/>
  <cols>
    <col min="1" max="1" width="42.5" style="21" bestFit="1" customWidth="1"/>
    <col min="2" max="2" width="47.1640625" style="37" bestFit="1" customWidth="1"/>
    <col min="3" max="3" width="10.83203125" style="21"/>
    <col min="4" max="4" width="38" style="21" bestFit="1" customWidth="1"/>
    <col min="5" max="5" width="32.5" style="21" bestFit="1" customWidth="1"/>
    <col min="6" max="6" width="12.33203125" style="37" customWidth="1"/>
    <col min="7" max="7" width="10.83203125" style="21"/>
    <col min="8" max="8" width="46.5" style="21" bestFit="1" customWidth="1"/>
    <col min="9" max="9" width="14.83203125" style="21" bestFit="1" customWidth="1"/>
    <col min="10" max="10" width="7.83203125" style="21" bestFit="1" customWidth="1"/>
    <col min="11" max="11" width="12.83203125" style="21" bestFit="1" customWidth="1"/>
    <col min="12" max="12" width="10.83203125" style="21"/>
    <col min="13" max="13" width="46.5" style="21" bestFit="1" customWidth="1"/>
    <col min="14" max="14" width="14.83203125" style="21" bestFit="1" customWidth="1"/>
    <col min="15" max="15" width="7.83203125" style="21" bestFit="1" customWidth="1"/>
    <col min="16" max="16" width="12.83203125" style="21" bestFit="1" customWidth="1"/>
    <col min="17" max="16384" width="10.83203125" style="21"/>
  </cols>
  <sheetData>
    <row r="1" spans="1:16" ht="18" thickTop="1" thickBot="1" x14ac:dyDescent="0.25">
      <c r="A1" s="99" t="s">
        <v>0</v>
      </c>
      <c r="B1" s="100"/>
      <c r="D1" s="101" t="s">
        <v>78</v>
      </c>
      <c r="E1" s="102"/>
      <c r="F1" s="103"/>
      <c r="H1" s="106" t="s">
        <v>99</v>
      </c>
      <c r="I1" s="107"/>
      <c r="J1" s="107"/>
      <c r="K1" s="108"/>
      <c r="M1" s="106" t="s">
        <v>100</v>
      </c>
      <c r="N1" s="107"/>
      <c r="O1" s="107"/>
      <c r="P1" s="108"/>
    </row>
    <row r="2" spans="1:16" ht="17" thickTop="1" thickBot="1" x14ac:dyDescent="0.25">
      <c r="A2" s="1" t="s">
        <v>1</v>
      </c>
      <c r="B2" s="2" t="s">
        <v>2</v>
      </c>
      <c r="D2" s="18" t="s">
        <v>1</v>
      </c>
      <c r="E2" s="72" t="s">
        <v>105</v>
      </c>
      <c r="F2" s="34" t="s">
        <v>80</v>
      </c>
      <c r="H2" s="67" t="s">
        <v>19</v>
      </c>
      <c r="I2" s="68" t="s">
        <v>20</v>
      </c>
      <c r="J2" s="68" t="s">
        <v>21</v>
      </c>
      <c r="K2" s="69" t="s">
        <v>22</v>
      </c>
      <c r="M2" s="67" t="s">
        <v>19</v>
      </c>
      <c r="N2" s="68" t="s">
        <v>20</v>
      </c>
      <c r="O2" s="68" t="s">
        <v>21</v>
      </c>
      <c r="P2" s="69" t="s">
        <v>22</v>
      </c>
    </row>
    <row r="3" spans="1:16" ht="16" thickBot="1" x14ac:dyDescent="0.25">
      <c r="A3" s="3" t="s">
        <v>3</v>
      </c>
      <c r="B3" s="4">
        <v>0.15</v>
      </c>
      <c r="D3" s="19" t="s">
        <v>3</v>
      </c>
      <c r="E3" s="51"/>
      <c r="F3" s="58">
        <f>E3*B3</f>
        <v>0</v>
      </c>
      <c r="H3" s="9" t="s">
        <v>40</v>
      </c>
      <c r="I3" s="11" t="s">
        <v>41</v>
      </c>
      <c r="J3" s="11" t="s">
        <v>34</v>
      </c>
      <c r="K3" s="4">
        <v>40</v>
      </c>
      <c r="M3" s="9" t="s">
        <v>32</v>
      </c>
      <c r="N3" s="11">
        <v>1000</v>
      </c>
      <c r="O3" s="11" t="s">
        <v>25</v>
      </c>
      <c r="P3" s="4">
        <v>125</v>
      </c>
    </row>
    <row r="4" spans="1:16" ht="16" thickBot="1" x14ac:dyDescent="0.25">
      <c r="A4" s="3" t="s">
        <v>4</v>
      </c>
      <c r="B4" s="4">
        <v>0.15</v>
      </c>
      <c r="D4" s="19" t="s">
        <v>4</v>
      </c>
      <c r="E4" s="51"/>
      <c r="F4" s="58">
        <f>E4*B4</f>
        <v>0</v>
      </c>
      <c r="H4" s="9" t="s">
        <v>32</v>
      </c>
      <c r="I4" s="11">
        <v>1000</v>
      </c>
      <c r="J4" s="11" t="s">
        <v>25</v>
      </c>
      <c r="K4" s="4">
        <v>125</v>
      </c>
      <c r="M4" s="9" t="s">
        <v>27</v>
      </c>
      <c r="N4" s="11">
        <v>2500</v>
      </c>
      <c r="O4" s="11" t="s">
        <v>25</v>
      </c>
      <c r="P4" s="4">
        <v>375</v>
      </c>
    </row>
    <row r="5" spans="1:16" ht="16" thickBot="1" x14ac:dyDescent="0.25">
      <c r="A5" s="3" t="s">
        <v>5</v>
      </c>
      <c r="B5" s="4">
        <v>0.33</v>
      </c>
      <c r="D5" s="19" t="s">
        <v>5</v>
      </c>
      <c r="E5" s="51"/>
      <c r="F5" s="58">
        <f>E5*B5</f>
        <v>0</v>
      </c>
      <c r="H5" s="9" t="s">
        <v>27</v>
      </c>
      <c r="I5" s="11">
        <v>2500</v>
      </c>
      <c r="J5" s="11" t="s">
        <v>25</v>
      </c>
      <c r="K5" s="4">
        <v>375</v>
      </c>
      <c r="M5" s="9" t="s">
        <v>29</v>
      </c>
      <c r="N5" s="11">
        <v>56000</v>
      </c>
      <c r="O5" s="11" t="s">
        <v>25</v>
      </c>
      <c r="P5" s="4">
        <v>216</v>
      </c>
    </row>
    <row r="6" spans="1:16" ht="16" thickBot="1" x14ac:dyDescent="0.25">
      <c r="A6" s="3" t="s">
        <v>6</v>
      </c>
      <c r="B6" s="4">
        <v>0.67</v>
      </c>
      <c r="D6" s="19" t="s">
        <v>6</v>
      </c>
      <c r="E6" s="51"/>
      <c r="F6" s="58">
        <f t="shared" ref="F6:F11" si="0">E6*B6</f>
        <v>0</v>
      </c>
      <c r="H6" s="9" t="s">
        <v>62</v>
      </c>
      <c r="I6" s="11">
        <v>50</v>
      </c>
      <c r="J6" s="11" t="s">
        <v>59</v>
      </c>
      <c r="K6" s="4">
        <v>1</v>
      </c>
      <c r="M6" s="9" t="s">
        <v>23</v>
      </c>
      <c r="N6" s="11" t="s">
        <v>24</v>
      </c>
      <c r="O6" s="11" t="s">
        <v>25</v>
      </c>
      <c r="P6" s="4">
        <v>1750</v>
      </c>
    </row>
    <row r="7" spans="1:16" ht="16" thickBot="1" x14ac:dyDescent="0.25">
      <c r="A7" s="3" t="s">
        <v>7</v>
      </c>
      <c r="B7" s="4">
        <v>0.67</v>
      </c>
      <c r="D7" s="19" t="s">
        <v>7</v>
      </c>
      <c r="E7" s="51"/>
      <c r="F7" s="58">
        <f t="shared" si="0"/>
        <v>0</v>
      </c>
      <c r="H7" s="9" t="s">
        <v>29</v>
      </c>
      <c r="I7" s="11">
        <v>56000</v>
      </c>
      <c r="J7" s="11" t="s">
        <v>25</v>
      </c>
      <c r="K7" s="4">
        <v>216</v>
      </c>
      <c r="M7" s="9" t="s">
        <v>28</v>
      </c>
      <c r="N7" s="11">
        <v>10000</v>
      </c>
      <c r="O7" s="11" t="s">
        <v>25</v>
      </c>
      <c r="P7" s="4">
        <v>250</v>
      </c>
    </row>
    <row r="8" spans="1:16" ht="16" thickBot="1" x14ac:dyDescent="0.25">
      <c r="A8" s="3" t="s">
        <v>8</v>
      </c>
      <c r="B8" s="4" t="s">
        <v>9</v>
      </c>
      <c r="D8" s="19" t="s">
        <v>8</v>
      </c>
      <c r="E8" s="51"/>
      <c r="F8" s="58">
        <v>0</v>
      </c>
      <c r="H8" s="9" t="s">
        <v>52</v>
      </c>
      <c r="I8" s="11">
        <v>2350</v>
      </c>
      <c r="J8" s="11" t="s">
        <v>50</v>
      </c>
      <c r="K8" s="4">
        <v>16.5</v>
      </c>
      <c r="M8" s="9" t="s">
        <v>26</v>
      </c>
      <c r="N8" s="11" t="s">
        <v>24</v>
      </c>
      <c r="O8" s="11" t="s">
        <v>25</v>
      </c>
      <c r="P8" s="4">
        <v>500</v>
      </c>
    </row>
    <row r="9" spans="1:16" ht="16" thickBot="1" x14ac:dyDescent="0.25">
      <c r="A9" s="3" t="s">
        <v>10</v>
      </c>
      <c r="B9" s="4">
        <v>0.75</v>
      </c>
      <c r="D9" s="19" t="s">
        <v>10</v>
      </c>
      <c r="E9" s="51"/>
      <c r="F9" s="58">
        <f t="shared" si="0"/>
        <v>0</v>
      </c>
      <c r="H9" s="9" t="s">
        <v>68</v>
      </c>
      <c r="I9" s="11">
        <v>25</v>
      </c>
      <c r="J9" s="11" t="s">
        <v>59</v>
      </c>
      <c r="K9" s="4">
        <v>0.3</v>
      </c>
      <c r="M9" s="9" t="s">
        <v>30</v>
      </c>
      <c r="N9" s="11">
        <v>10000</v>
      </c>
      <c r="O9" s="11" t="s">
        <v>25</v>
      </c>
      <c r="P9" s="4">
        <v>200</v>
      </c>
    </row>
    <row r="10" spans="1:16" ht="16" thickBot="1" x14ac:dyDescent="0.25">
      <c r="A10" s="3" t="s">
        <v>11</v>
      </c>
      <c r="B10" s="4">
        <v>0.75</v>
      </c>
      <c r="D10" s="19" t="s">
        <v>11</v>
      </c>
      <c r="E10" s="51"/>
      <c r="F10" s="58">
        <f t="shared" si="0"/>
        <v>0</v>
      </c>
      <c r="H10" s="9" t="s">
        <v>67</v>
      </c>
      <c r="I10" s="11">
        <v>50</v>
      </c>
      <c r="J10" s="11" t="s">
        <v>59</v>
      </c>
      <c r="K10" s="4">
        <v>0.4</v>
      </c>
      <c r="M10" s="9" t="s">
        <v>31</v>
      </c>
      <c r="N10" s="11">
        <v>3000</v>
      </c>
      <c r="O10" s="11" t="s">
        <v>25</v>
      </c>
      <c r="P10" s="4">
        <v>150</v>
      </c>
    </row>
    <row r="11" spans="1:16" ht="16" thickBot="1" x14ac:dyDescent="0.25">
      <c r="A11" s="5" t="s">
        <v>12</v>
      </c>
      <c r="B11" s="6">
        <v>1</v>
      </c>
      <c r="D11" s="20" t="s">
        <v>12</v>
      </c>
      <c r="E11" s="52"/>
      <c r="F11" s="56">
        <f t="shared" si="0"/>
        <v>0</v>
      </c>
      <c r="G11" s="59"/>
      <c r="H11" s="9" t="s">
        <v>69</v>
      </c>
      <c r="I11" s="11">
        <v>30</v>
      </c>
      <c r="J11" s="11" t="s">
        <v>59</v>
      </c>
      <c r="K11" s="4">
        <v>0.3</v>
      </c>
      <c r="M11" s="9" t="s">
        <v>40</v>
      </c>
      <c r="N11" s="11" t="s">
        <v>41</v>
      </c>
      <c r="O11" s="11" t="s">
        <v>34</v>
      </c>
      <c r="P11" s="4">
        <v>40</v>
      </c>
    </row>
    <row r="12" spans="1:16" ht="17" thickTop="1" thickBot="1" x14ac:dyDescent="0.25">
      <c r="D12" s="33" t="s">
        <v>79</v>
      </c>
      <c r="E12" s="57">
        <f>SUM(E3:E11)</f>
        <v>0</v>
      </c>
      <c r="F12" s="55">
        <f>SUM(F3:F11)</f>
        <v>0</v>
      </c>
      <c r="G12" s="59"/>
      <c r="H12" s="9" t="s">
        <v>60</v>
      </c>
      <c r="I12" s="11">
        <v>450</v>
      </c>
      <c r="J12" s="11" t="s">
        <v>59</v>
      </c>
      <c r="K12" s="4">
        <v>2.8</v>
      </c>
      <c r="M12" s="9" t="s">
        <v>36</v>
      </c>
      <c r="N12" s="11">
        <v>56000</v>
      </c>
      <c r="O12" s="11" t="s">
        <v>34</v>
      </c>
      <c r="P12" s="4">
        <v>56</v>
      </c>
    </row>
    <row r="13" spans="1:16" ht="17" thickTop="1" thickBot="1" x14ac:dyDescent="0.25">
      <c r="A13" s="70" t="s">
        <v>104</v>
      </c>
      <c r="B13" s="41" t="s">
        <v>73</v>
      </c>
      <c r="H13" s="9" t="s">
        <v>57</v>
      </c>
      <c r="I13" s="11">
        <v>9</v>
      </c>
      <c r="J13" s="11" t="s">
        <v>50</v>
      </c>
      <c r="K13" s="4">
        <v>6</v>
      </c>
      <c r="M13" s="9" t="s">
        <v>39</v>
      </c>
      <c r="N13" s="11">
        <v>200</v>
      </c>
      <c r="O13" s="11" t="s">
        <v>34</v>
      </c>
      <c r="P13" s="4">
        <v>41</v>
      </c>
    </row>
    <row r="14" spans="1:16" ht="17" thickTop="1" thickBot="1" x14ac:dyDescent="0.25">
      <c r="A14" s="45"/>
      <c r="B14" s="56">
        <f>A14/40</f>
        <v>0</v>
      </c>
      <c r="D14" s="73" t="s">
        <v>107</v>
      </c>
      <c r="E14" s="74" t="s">
        <v>108</v>
      </c>
      <c r="F14" s="38" t="s">
        <v>74</v>
      </c>
      <c r="H14" s="9" t="s">
        <v>58</v>
      </c>
      <c r="I14" s="11">
        <v>250</v>
      </c>
      <c r="J14" s="11" t="s">
        <v>59</v>
      </c>
      <c r="K14" s="4">
        <v>3</v>
      </c>
      <c r="M14" s="9" t="s">
        <v>35</v>
      </c>
      <c r="N14" s="11">
        <v>400</v>
      </c>
      <c r="O14" s="11" t="s">
        <v>34</v>
      </c>
      <c r="P14" s="4">
        <v>82</v>
      </c>
    </row>
    <row r="15" spans="1:16" ht="16" thickBot="1" x14ac:dyDescent="0.25">
      <c r="A15" s="23"/>
      <c r="B15" s="42" t="s">
        <v>89</v>
      </c>
      <c r="D15" s="48"/>
      <c r="E15" s="49"/>
      <c r="F15" s="39">
        <f t="shared" ref="F15:F42" si="1">IFERROR(E15*VLOOKUP(D15,$H$3:$K$44,4,FALSE),0)</f>
        <v>0</v>
      </c>
      <c r="H15" s="9" t="s">
        <v>23</v>
      </c>
      <c r="I15" s="11" t="s">
        <v>24</v>
      </c>
      <c r="J15" s="11" t="s">
        <v>25</v>
      </c>
      <c r="K15" s="4">
        <v>1750</v>
      </c>
      <c r="M15" s="9" t="s">
        <v>33</v>
      </c>
      <c r="N15" s="11">
        <v>2250</v>
      </c>
      <c r="O15" s="11" t="s">
        <v>34</v>
      </c>
      <c r="P15" s="4">
        <v>90</v>
      </c>
    </row>
    <row r="16" spans="1:16" ht="16" thickBot="1" x14ac:dyDescent="0.25">
      <c r="A16" s="28" t="str">
        <f>IF(B36&lt;&gt;"Incomplete",Sheet2!F10,"")</f>
        <v/>
      </c>
      <c r="B16" s="60">
        <f>IF(B14&lt;=2.49,B14*B19,IF(AND(B14&gt;=2.5,B14&lt;=4.99),B14*B20,IF(AND(B14&gt;=5,B14&lt;=9.99),B14*B21,IF(B14&gt;=10,B14*B22))))</f>
        <v>0</v>
      </c>
      <c r="D16" s="50"/>
      <c r="E16" s="46"/>
      <c r="F16" s="35">
        <f t="shared" si="1"/>
        <v>0</v>
      </c>
      <c r="H16" s="9" t="s">
        <v>28</v>
      </c>
      <c r="I16" s="11">
        <v>10000</v>
      </c>
      <c r="J16" s="11" t="s">
        <v>25</v>
      </c>
      <c r="K16" s="4">
        <v>250</v>
      </c>
      <c r="M16" s="9" t="s">
        <v>37</v>
      </c>
      <c r="N16" s="11">
        <v>7200</v>
      </c>
      <c r="O16" s="11" t="s">
        <v>34</v>
      </c>
      <c r="P16" s="4">
        <v>50.4</v>
      </c>
    </row>
    <row r="17" spans="1:16" ht="17" thickTop="1" thickBot="1" x14ac:dyDescent="0.25">
      <c r="D17" s="50"/>
      <c r="E17" s="46"/>
      <c r="F17" s="35">
        <f t="shared" si="1"/>
        <v>0</v>
      </c>
      <c r="H17" s="9" t="s">
        <v>26</v>
      </c>
      <c r="I17" s="11" t="s">
        <v>24</v>
      </c>
      <c r="J17" s="11" t="s">
        <v>25</v>
      </c>
      <c r="K17" s="4">
        <v>500</v>
      </c>
      <c r="M17" s="9" t="s">
        <v>38</v>
      </c>
      <c r="N17" s="11">
        <v>10000</v>
      </c>
      <c r="O17" s="11" t="s">
        <v>34</v>
      </c>
      <c r="P17" s="4">
        <v>41.3</v>
      </c>
    </row>
    <row r="18" spans="1:16" ht="17" thickTop="1" thickBot="1" x14ac:dyDescent="0.25">
      <c r="A18" s="7" t="s">
        <v>13</v>
      </c>
      <c r="B18" s="8" t="s">
        <v>14</v>
      </c>
      <c r="D18" s="50"/>
      <c r="E18" s="46"/>
      <c r="F18" s="35">
        <f t="shared" si="1"/>
        <v>0</v>
      </c>
      <c r="H18" s="9" t="s">
        <v>70</v>
      </c>
      <c r="I18" s="11">
        <v>320</v>
      </c>
      <c r="J18" s="11" t="s">
        <v>71</v>
      </c>
      <c r="K18" s="4">
        <v>0.4</v>
      </c>
      <c r="M18" s="9" t="s">
        <v>48</v>
      </c>
      <c r="N18" s="11">
        <v>720</v>
      </c>
      <c r="O18" s="11" t="s">
        <v>43</v>
      </c>
      <c r="P18" s="4">
        <v>23.4</v>
      </c>
    </row>
    <row r="19" spans="1:16" ht="16" thickBot="1" x14ac:dyDescent="0.25">
      <c r="A19" s="9" t="s">
        <v>15</v>
      </c>
      <c r="B19" s="2">
        <v>100</v>
      </c>
      <c r="D19" s="50"/>
      <c r="E19" s="46"/>
      <c r="F19" s="35">
        <f t="shared" si="1"/>
        <v>0</v>
      </c>
      <c r="H19" s="9" t="s">
        <v>72</v>
      </c>
      <c r="I19" s="11">
        <v>320</v>
      </c>
      <c r="J19" s="11" t="s">
        <v>71</v>
      </c>
      <c r="K19" s="4">
        <v>0.1</v>
      </c>
      <c r="M19" s="9" t="s">
        <v>42</v>
      </c>
      <c r="N19" s="11">
        <v>1200</v>
      </c>
      <c r="O19" s="11" t="s">
        <v>43</v>
      </c>
      <c r="P19" s="4">
        <v>39</v>
      </c>
    </row>
    <row r="20" spans="1:16" ht="16" thickBot="1" x14ac:dyDescent="0.25">
      <c r="A20" s="9" t="s">
        <v>16</v>
      </c>
      <c r="B20" s="2">
        <v>80</v>
      </c>
      <c r="D20" s="50"/>
      <c r="E20" s="46"/>
      <c r="F20" s="35">
        <f t="shared" si="1"/>
        <v>0</v>
      </c>
      <c r="H20" s="9" t="s">
        <v>48</v>
      </c>
      <c r="I20" s="11">
        <v>720</v>
      </c>
      <c r="J20" s="11" t="s">
        <v>43</v>
      </c>
      <c r="K20" s="4">
        <v>23.4</v>
      </c>
      <c r="M20" s="9" t="s">
        <v>44</v>
      </c>
      <c r="N20" s="11">
        <v>960</v>
      </c>
      <c r="O20" s="11" t="s">
        <v>43</v>
      </c>
      <c r="P20" s="4">
        <v>31.2</v>
      </c>
    </row>
    <row r="21" spans="1:16" ht="16" thickBot="1" x14ac:dyDescent="0.25">
      <c r="A21" s="9" t="s">
        <v>17</v>
      </c>
      <c r="B21" s="2">
        <v>60</v>
      </c>
      <c r="D21" s="50"/>
      <c r="E21" s="46"/>
      <c r="F21" s="35">
        <f t="shared" si="1"/>
        <v>0</v>
      </c>
      <c r="H21" s="9" t="s">
        <v>42</v>
      </c>
      <c r="I21" s="11">
        <v>1200</v>
      </c>
      <c r="J21" s="11" t="s">
        <v>43</v>
      </c>
      <c r="K21" s="4">
        <v>39</v>
      </c>
      <c r="M21" s="9" t="s">
        <v>45</v>
      </c>
      <c r="N21" s="11">
        <v>28000</v>
      </c>
      <c r="O21" s="11" t="s">
        <v>43</v>
      </c>
      <c r="P21" s="4">
        <v>28</v>
      </c>
    </row>
    <row r="22" spans="1:16" ht="16" thickBot="1" x14ac:dyDescent="0.25">
      <c r="A22" s="10" t="s">
        <v>18</v>
      </c>
      <c r="B22" s="24">
        <v>40</v>
      </c>
      <c r="D22" s="50"/>
      <c r="E22" s="46"/>
      <c r="F22" s="35">
        <f t="shared" si="1"/>
        <v>0</v>
      </c>
      <c r="H22" s="9" t="s">
        <v>44</v>
      </c>
      <c r="I22" s="11">
        <v>960</v>
      </c>
      <c r="J22" s="11" t="s">
        <v>43</v>
      </c>
      <c r="K22" s="4">
        <v>31.2</v>
      </c>
      <c r="M22" s="9" t="s">
        <v>46</v>
      </c>
      <c r="N22" s="11">
        <v>200</v>
      </c>
      <c r="O22" s="11" t="s">
        <v>43</v>
      </c>
      <c r="P22" s="4">
        <v>25</v>
      </c>
    </row>
    <row r="23" spans="1:16" ht="17" thickTop="1" thickBot="1" x14ac:dyDescent="0.25">
      <c r="D23" s="50"/>
      <c r="E23" s="46"/>
      <c r="F23" s="35">
        <f t="shared" si="1"/>
        <v>0</v>
      </c>
      <c r="H23" s="9" t="s">
        <v>53</v>
      </c>
      <c r="I23" s="11">
        <v>400</v>
      </c>
      <c r="J23" s="11" t="s">
        <v>50</v>
      </c>
      <c r="K23" s="4">
        <v>15.6</v>
      </c>
      <c r="M23" s="9" t="s">
        <v>47</v>
      </c>
      <c r="N23" s="11">
        <v>250</v>
      </c>
      <c r="O23" s="11" t="s">
        <v>43</v>
      </c>
      <c r="P23" s="4">
        <v>25</v>
      </c>
    </row>
    <row r="24" spans="1:16" ht="17" thickTop="1" thickBot="1" x14ac:dyDescent="0.25">
      <c r="A24" s="22" t="s">
        <v>81</v>
      </c>
      <c r="B24" s="71" t="s">
        <v>106</v>
      </c>
      <c r="D24" s="50"/>
      <c r="E24" s="46"/>
      <c r="F24" s="35">
        <f t="shared" si="1"/>
        <v>0</v>
      </c>
      <c r="H24" s="9" t="s">
        <v>54</v>
      </c>
      <c r="I24" s="11">
        <v>2000</v>
      </c>
      <c r="J24" s="11" t="s">
        <v>50</v>
      </c>
      <c r="K24" s="4">
        <v>12.5</v>
      </c>
      <c r="M24" s="9" t="s">
        <v>52</v>
      </c>
      <c r="N24" s="11">
        <v>2350</v>
      </c>
      <c r="O24" s="11" t="s">
        <v>50</v>
      </c>
      <c r="P24" s="4">
        <v>16.5</v>
      </c>
    </row>
    <row r="25" spans="1:16" ht="16" thickBot="1" x14ac:dyDescent="0.25">
      <c r="A25" s="30" t="s">
        <v>82</v>
      </c>
      <c r="B25" s="53"/>
      <c r="D25" s="50"/>
      <c r="E25" s="46"/>
      <c r="F25" s="35">
        <f t="shared" si="1"/>
        <v>0</v>
      </c>
      <c r="H25" s="9" t="s">
        <v>49</v>
      </c>
      <c r="I25" s="11">
        <v>3000</v>
      </c>
      <c r="J25" s="11" t="s">
        <v>50</v>
      </c>
      <c r="K25" s="4">
        <v>22.5</v>
      </c>
      <c r="M25" s="9" t="s">
        <v>57</v>
      </c>
      <c r="N25" s="11">
        <v>9</v>
      </c>
      <c r="O25" s="11" t="s">
        <v>50</v>
      </c>
      <c r="P25" s="4">
        <v>6</v>
      </c>
    </row>
    <row r="26" spans="1:16" ht="16" thickBot="1" x14ac:dyDescent="0.25">
      <c r="A26" s="31" t="s">
        <v>83</v>
      </c>
      <c r="B26" s="54"/>
      <c r="D26" s="50"/>
      <c r="E26" s="46"/>
      <c r="F26" s="35">
        <f t="shared" si="1"/>
        <v>0</v>
      </c>
      <c r="H26" s="9" t="s">
        <v>36</v>
      </c>
      <c r="I26" s="11">
        <v>56000</v>
      </c>
      <c r="J26" s="11" t="s">
        <v>34</v>
      </c>
      <c r="K26" s="4">
        <v>56</v>
      </c>
      <c r="M26" s="9" t="s">
        <v>53</v>
      </c>
      <c r="N26" s="11">
        <v>400</v>
      </c>
      <c r="O26" s="11" t="s">
        <v>50</v>
      </c>
      <c r="P26" s="4">
        <v>15.6</v>
      </c>
    </row>
    <row r="27" spans="1:16" ht="16" thickBot="1" x14ac:dyDescent="0.25">
      <c r="A27" s="32" t="s">
        <v>88</v>
      </c>
      <c r="B27" s="55">
        <f>SUM(B25*0.1,B26*0.15)</f>
        <v>0</v>
      </c>
      <c r="D27" s="50"/>
      <c r="E27" s="46"/>
      <c r="F27" s="35">
        <f t="shared" si="1"/>
        <v>0</v>
      </c>
      <c r="H27" s="9" t="s">
        <v>45</v>
      </c>
      <c r="I27" s="11">
        <v>28000</v>
      </c>
      <c r="J27" s="11" t="s">
        <v>43</v>
      </c>
      <c r="K27" s="4">
        <v>28</v>
      </c>
      <c r="M27" s="9" t="s">
        <v>54</v>
      </c>
      <c r="N27" s="11">
        <v>2000</v>
      </c>
      <c r="O27" s="11" t="s">
        <v>50</v>
      </c>
      <c r="P27" s="4">
        <v>12.5</v>
      </c>
    </row>
    <row r="28" spans="1:16" ht="17" thickTop="1" thickBot="1" x14ac:dyDescent="0.25">
      <c r="D28" s="50"/>
      <c r="E28" s="46"/>
      <c r="F28" s="35">
        <f t="shared" si="1"/>
        <v>0</v>
      </c>
      <c r="H28" s="9" t="s">
        <v>46</v>
      </c>
      <c r="I28" s="11">
        <v>200</v>
      </c>
      <c r="J28" s="11" t="s">
        <v>43</v>
      </c>
      <c r="K28" s="4">
        <v>25</v>
      </c>
      <c r="M28" s="9" t="s">
        <v>49</v>
      </c>
      <c r="N28" s="11">
        <v>3000</v>
      </c>
      <c r="O28" s="11" t="s">
        <v>50</v>
      </c>
      <c r="P28" s="4">
        <v>22.5</v>
      </c>
    </row>
    <row r="29" spans="1:16" ht="16" thickBot="1" x14ac:dyDescent="0.25">
      <c r="D29" s="50"/>
      <c r="E29" s="46"/>
      <c r="F29" s="35">
        <f t="shared" si="1"/>
        <v>0</v>
      </c>
      <c r="H29" s="9" t="s">
        <v>47</v>
      </c>
      <c r="I29" s="11">
        <v>250</v>
      </c>
      <c r="J29" s="11" t="s">
        <v>43</v>
      </c>
      <c r="K29" s="4">
        <v>25</v>
      </c>
      <c r="M29" s="9" t="s">
        <v>55</v>
      </c>
      <c r="N29" s="11">
        <v>100</v>
      </c>
      <c r="O29" s="11" t="s">
        <v>50</v>
      </c>
      <c r="P29" s="4">
        <v>12.5</v>
      </c>
    </row>
    <row r="30" spans="1:16" ht="17" thickTop="1" thickBot="1" x14ac:dyDescent="0.25">
      <c r="A30" s="22" t="s">
        <v>85</v>
      </c>
      <c r="B30" s="43"/>
      <c r="D30" s="50"/>
      <c r="E30" s="46"/>
      <c r="F30" s="35">
        <f t="shared" si="1"/>
        <v>0</v>
      </c>
      <c r="H30" s="9" t="s">
        <v>39</v>
      </c>
      <c r="I30" s="11">
        <v>200</v>
      </c>
      <c r="J30" s="11" t="s">
        <v>34</v>
      </c>
      <c r="K30" s="4">
        <v>41</v>
      </c>
      <c r="M30" s="9" t="s">
        <v>56</v>
      </c>
      <c r="N30" s="11">
        <v>5000</v>
      </c>
      <c r="O30" s="11" t="s">
        <v>50</v>
      </c>
      <c r="P30" s="4">
        <v>8.3000000000000007</v>
      </c>
    </row>
    <row r="31" spans="1:16" ht="16" thickBot="1" x14ac:dyDescent="0.25">
      <c r="A31" s="27" t="s">
        <v>82</v>
      </c>
      <c r="B31" s="44">
        <v>0.1</v>
      </c>
      <c r="D31" s="50"/>
      <c r="E31" s="46"/>
      <c r="F31" s="35">
        <f t="shared" si="1"/>
        <v>0</v>
      </c>
      <c r="H31" s="9" t="s">
        <v>35</v>
      </c>
      <c r="I31" s="11">
        <v>400</v>
      </c>
      <c r="J31" s="11" t="s">
        <v>34</v>
      </c>
      <c r="K31" s="4">
        <v>82</v>
      </c>
      <c r="M31" s="9" t="s">
        <v>51</v>
      </c>
      <c r="N31" s="11" t="s">
        <v>24</v>
      </c>
      <c r="O31" s="11" t="s">
        <v>50</v>
      </c>
      <c r="P31" s="4">
        <v>17.5</v>
      </c>
    </row>
    <row r="32" spans="1:16" ht="16" thickBot="1" x14ac:dyDescent="0.25">
      <c r="A32" s="27" t="s">
        <v>86</v>
      </c>
      <c r="B32" s="44">
        <v>0.15</v>
      </c>
      <c r="D32" s="50"/>
      <c r="E32" s="46"/>
      <c r="F32" s="35">
        <f t="shared" si="1"/>
        <v>0</v>
      </c>
      <c r="H32" s="9" t="s">
        <v>30</v>
      </c>
      <c r="I32" s="11">
        <v>10000</v>
      </c>
      <c r="J32" s="11" t="s">
        <v>25</v>
      </c>
      <c r="K32" s="4">
        <v>200</v>
      </c>
      <c r="M32" s="9" t="s">
        <v>62</v>
      </c>
      <c r="N32" s="11">
        <v>50</v>
      </c>
      <c r="O32" s="11" t="s">
        <v>59</v>
      </c>
      <c r="P32" s="4">
        <v>1</v>
      </c>
    </row>
    <row r="33" spans="1:16" ht="16" thickBot="1" x14ac:dyDescent="0.25">
      <c r="A33" s="28" t="s">
        <v>84</v>
      </c>
      <c r="B33" s="29" t="s">
        <v>87</v>
      </c>
      <c r="D33" s="50"/>
      <c r="E33" s="46"/>
      <c r="F33" s="35">
        <f t="shared" si="1"/>
        <v>0</v>
      </c>
      <c r="H33" s="9" t="s">
        <v>33</v>
      </c>
      <c r="I33" s="11">
        <v>2250</v>
      </c>
      <c r="J33" s="11" t="s">
        <v>34</v>
      </c>
      <c r="K33" s="4">
        <v>90</v>
      </c>
      <c r="M33" s="9" t="s">
        <v>68</v>
      </c>
      <c r="N33" s="11">
        <v>25</v>
      </c>
      <c r="O33" s="11" t="s">
        <v>59</v>
      </c>
      <c r="P33" s="4">
        <v>0.3</v>
      </c>
    </row>
    <row r="34" spans="1:16" ht="17" thickTop="1" thickBot="1" x14ac:dyDescent="0.25">
      <c r="D34" s="50"/>
      <c r="E34" s="46"/>
      <c r="F34" s="35">
        <f t="shared" si="1"/>
        <v>0</v>
      </c>
      <c r="H34" s="9" t="s">
        <v>31</v>
      </c>
      <c r="I34" s="11">
        <v>3000</v>
      </c>
      <c r="J34" s="11" t="s">
        <v>25</v>
      </c>
      <c r="K34" s="4">
        <v>150</v>
      </c>
      <c r="M34" s="9" t="s">
        <v>67</v>
      </c>
      <c r="N34" s="11">
        <v>50</v>
      </c>
      <c r="O34" s="11" t="s">
        <v>59</v>
      </c>
      <c r="P34" s="4">
        <v>0.4</v>
      </c>
    </row>
    <row r="35" spans="1:16" ht="19" thickTop="1" thickBot="1" x14ac:dyDescent="0.25">
      <c r="A35" s="104" t="s">
        <v>90</v>
      </c>
      <c r="B35" s="105"/>
      <c r="D35" s="50"/>
      <c r="E35" s="46"/>
      <c r="F35" s="35">
        <f t="shared" si="1"/>
        <v>0</v>
      </c>
      <c r="H35" s="9" t="s">
        <v>55</v>
      </c>
      <c r="I35" s="11">
        <v>100</v>
      </c>
      <c r="J35" s="11" t="s">
        <v>50</v>
      </c>
      <c r="K35" s="4">
        <v>12.5</v>
      </c>
      <c r="M35" s="9" t="s">
        <v>69</v>
      </c>
      <c r="N35" s="11">
        <v>30</v>
      </c>
      <c r="O35" s="11" t="s">
        <v>59</v>
      </c>
      <c r="P35" s="4">
        <v>0.3</v>
      </c>
    </row>
    <row r="36" spans="1:16" ht="16" thickBot="1" x14ac:dyDescent="0.25">
      <c r="A36" s="65" t="s">
        <v>91</v>
      </c>
      <c r="B36" s="63" t="str">
        <f>IF(AND(A14&lt;&gt;0,B27&lt;&gt;0,F12&lt;&gt;0,F44&lt;&gt;0),"Complete","Incomplete")</f>
        <v>Incomplete</v>
      </c>
      <c r="D36" s="50"/>
      <c r="E36" s="46"/>
      <c r="F36" s="35">
        <f t="shared" si="1"/>
        <v>0</v>
      </c>
      <c r="H36" s="9" t="s">
        <v>63</v>
      </c>
      <c r="I36" s="11">
        <v>75</v>
      </c>
      <c r="J36" s="11" t="s">
        <v>59</v>
      </c>
      <c r="K36" s="4">
        <v>0.8</v>
      </c>
      <c r="M36" s="9" t="s">
        <v>60</v>
      </c>
      <c r="N36" s="11">
        <v>450</v>
      </c>
      <c r="O36" s="11" t="s">
        <v>59</v>
      </c>
      <c r="P36" s="4">
        <v>2.8</v>
      </c>
    </row>
    <row r="37" spans="1:16" ht="16" thickBot="1" x14ac:dyDescent="0.25">
      <c r="A37" s="65" t="s">
        <v>92</v>
      </c>
      <c r="B37" s="63" t="str">
        <f>IF(B36="Incomplete",B36,IF(AND(F12&lt;B14,F12&lt;&gt;0),"Insufficient EA",IF(AND(F12&gt;=B14,F12&lt;&gt;0),"Sufficient EA")))</f>
        <v>Incomplete</v>
      </c>
      <c r="D37" s="50"/>
      <c r="E37" s="46"/>
      <c r="F37" s="35">
        <f t="shared" si="1"/>
        <v>0</v>
      </c>
      <c r="H37" s="9" t="s">
        <v>37</v>
      </c>
      <c r="I37" s="11">
        <v>7200</v>
      </c>
      <c r="J37" s="11" t="s">
        <v>34</v>
      </c>
      <c r="K37" s="4">
        <v>50.4</v>
      </c>
      <c r="M37" s="9" t="s">
        <v>58</v>
      </c>
      <c r="N37" s="11">
        <v>250</v>
      </c>
      <c r="O37" s="11" t="s">
        <v>59</v>
      </c>
      <c r="P37" s="4">
        <v>3</v>
      </c>
    </row>
    <row r="38" spans="1:16" ht="16" thickBot="1" x14ac:dyDescent="0.25">
      <c r="A38" s="65" t="s">
        <v>93</v>
      </c>
      <c r="B38" s="63" t="str">
        <f>IF(B36="Incomplete",B36,IF(AND(E12&gt;=B27,B27&lt;&gt;0),"Sufficient","Insufficient Acreage"))</f>
        <v>Incomplete</v>
      </c>
      <c r="D38" s="50"/>
      <c r="E38" s="46"/>
      <c r="F38" s="35">
        <f t="shared" si="1"/>
        <v>0</v>
      </c>
      <c r="H38" s="9" t="s">
        <v>64</v>
      </c>
      <c r="I38" s="11">
        <v>250</v>
      </c>
      <c r="J38" s="11" t="s">
        <v>59</v>
      </c>
      <c r="K38" s="4">
        <v>0.6</v>
      </c>
      <c r="M38" s="9" t="s">
        <v>63</v>
      </c>
      <c r="N38" s="11">
        <v>75</v>
      </c>
      <c r="O38" s="11" t="s">
        <v>59</v>
      </c>
      <c r="P38" s="4">
        <v>0.8</v>
      </c>
    </row>
    <row r="39" spans="1:16" ht="16" thickBot="1" x14ac:dyDescent="0.25">
      <c r="A39" s="65" t="s">
        <v>94</v>
      </c>
      <c r="B39" s="63" t="str">
        <f>IF(F44&lt;B16,"Insufficient Points",IF(AND(F44&gt;=B16,B16&lt;&gt;0),"Sufficient Points","Incomplete"))</f>
        <v>Incomplete</v>
      </c>
      <c r="D39" s="50"/>
      <c r="E39" s="46"/>
      <c r="F39" s="35">
        <f t="shared" si="1"/>
        <v>0</v>
      </c>
      <c r="H39" s="9" t="s">
        <v>38</v>
      </c>
      <c r="I39" s="11">
        <v>10000</v>
      </c>
      <c r="J39" s="11" t="s">
        <v>34</v>
      </c>
      <c r="K39" s="4">
        <v>41.3</v>
      </c>
      <c r="M39" s="9" t="s">
        <v>64</v>
      </c>
      <c r="N39" s="11">
        <v>250</v>
      </c>
      <c r="O39" s="11" t="s">
        <v>59</v>
      </c>
      <c r="P39" s="4">
        <v>0.6</v>
      </c>
    </row>
    <row r="40" spans="1:16" ht="16" thickBot="1" x14ac:dyDescent="0.25">
      <c r="A40" s="65" t="s">
        <v>98</v>
      </c>
      <c r="B40" s="63" t="str">
        <f>IF(B36="Incomplete",B36,Sheet2!F9)</f>
        <v>Incomplete</v>
      </c>
      <c r="D40" s="50"/>
      <c r="E40" s="46"/>
      <c r="F40" s="35">
        <f t="shared" si="1"/>
        <v>0</v>
      </c>
      <c r="H40" s="9" t="s">
        <v>56</v>
      </c>
      <c r="I40" s="11">
        <v>5000</v>
      </c>
      <c r="J40" s="11" t="s">
        <v>50</v>
      </c>
      <c r="K40" s="4">
        <v>8.3000000000000007</v>
      </c>
      <c r="M40" s="9" t="s">
        <v>65</v>
      </c>
      <c r="N40" s="11">
        <v>25</v>
      </c>
      <c r="O40" s="11" t="s">
        <v>59</v>
      </c>
      <c r="P40" s="4">
        <v>0.6</v>
      </c>
    </row>
    <row r="41" spans="1:16" ht="16" thickBot="1" x14ac:dyDescent="0.25">
      <c r="A41" s="65" t="str">
        <f>A16</f>
        <v/>
      </c>
      <c r="B41" s="63" t="str">
        <f>IF(A16="","",IF(B36="Incomplete",B36,IF(A41="A or B, 3 from P, and 1 Restroom Also Required",Sheet2!F11,"n/a")))</f>
        <v/>
      </c>
      <c r="D41" s="50"/>
      <c r="E41" s="46"/>
      <c r="F41" s="35">
        <f t="shared" si="1"/>
        <v>0</v>
      </c>
      <c r="H41" s="12" t="s">
        <v>65</v>
      </c>
      <c r="I41" s="13">
        <v>25</v>
      </c>
      <c r="J41" s="13" t="s">
        <v>59</v>
      </c>
      <c r="K41" s="14">
        <v>0.6</v>
      </c>
      <c r="M41" s="12" t="s">
        <v>61</v>
      </c>
      <c r="N41" s="13">
        <v>1800</v>
      </c>
      <c r="O41" s="13" t="s">
        <v>59</v>
      </c>
      <c r="P41" s="14">
        <v>1.3</v>
      </c>
    </row>
    <row r="42" spans="1:16" ht="16" thickBot="1" x14ac:dyDescent="0.25">
      <c r="A42" s="65" t="s">
        <v>96</v>
      </c>
      <c r="B42" s="63" t="str">
        <f>IF(B36="Incomplete",B36,IF(Sheet2!C30&gt;0,"Item exceeds 25%", "No item exceeds 25%"))</f>
        <v>Incomplete</v>
      </c>
      <c r="D42" s="50"/>
      <c r="E42" s="46"/>
      <c r="F42" s="35">
        <f t="shared" si="1"/>
        <v>0</v>
      </c>
      <c r="H42" s="15" t="s">
        <v>61</v>
      </c>
      <c r="I42" s="16">
        <v>1800</v>
      </c>
      <c r="J42" s="16" t="s">
        <v>59</v>
      </c>
      <c r="K42" s="17">
        <v>1.3</v>
      </c>
      <c r="M42" s="15" t="s">
        <v>66</v>
      </c>
      <c r="N42" s="16">
        <v>100</v>
      </c>
      <c r="O42" s="16" t="s">
        <v>59</v>
      </c>
      <c r="P42" s="17">
        <v>0.5</v>
      </c>
    </row>
    <row r="43" spans="1:16" ht="16" thickBot="1" x14ac:dyDescent="0.25">
      <c r="A43" s="66" t="s">
        <v>95</v>
      </c>
      <c r="B43" s="64" t="str">
        <f>IF(B36="Incomplete",B36,IF(F12-SUM(F3,F4,F5,F7)&lt;(B14*0.5),"Warning, exceeds 50% limit","Complies with limits"))</f>
        <v>Incomplete</v>
      </c>
      <c r="D43" s="45" t="s">
        <v>76</v>
      </c>
      <c r="E43" s="47" t="s">
        <v>77</v>
      </c>
      <c r="F43" s="36">
        <f>IFERROR(E43/2000,0)</f>
        <v>0</v>
      </c>
      <c r="H43" s="12" t="s">
        <v>66</v>
      </c>
      <c r="I43" s="13">
        <v>100</v>
      </c>
      <c r="J43" s="13" t="s">
        <v>59</v>
      </c>
      <c r="K43" s="14">
        <v>0.5</v>
      </c>
      <c r="M43" s="12" t="s">
        <v>70</v>
      </c>
      <c r="N43" s="13">
        <v>320</v>
      </c>
      <c r="O43" s="13" t="s">
        <v>71</v>
      </c>
      <c r="P43" s="14">
        <v>0.4</v>
      </c>
    </row>
    <row r="44" spans="1:16" ht="17" thickTop="1" thickBot="1" x14ac:dyDescent="0.25">
      <c r="D44" s="25"/>
      <c r="E44" s="26" t="s">
        <v>75</v>
      </c>
      <c r="F44" s="40">
        <f>SUMIF(F15:F43,"&lt;&gt;#N/A",F15:F43)</f>
        <v>0</v>
      </c>
      <c r="H44" s="15" t="s">
        <v>51</v>
      </c>
      <c r="I44" s="16" t="s">
        <v>24</v>
      </c>
      <c r="J44" s="16" t="s">
        <v>50</v>
      </c>
      <c r="K44" s="17">
        <v>17.5</v>
      </c>
      <c r="M44" s="15" t="s">
        <v>72</v>
      </c>
      <c r="N44" s="16">
        <v>320</v>
      </c>
      <c r="O44" s="16" t="s">
        <v>71</v>
      </c>
      <c r="P44" s="17">
        <v>0.1</v>
      </c>
    </row>
    <row r="45" spans="1:16" ht="16" thickTop="1" x14ac:dyDescent="0.2"/>
  </sheetData>
  <sheetProtection password="ED39" sheet="1" objects="1" scenarios="1" sort="0" autoFilter="0"/>
  <sortState ref="M3:P44">
    <sortCondition ref="O3:O44"/>
  </sortState>
  <mergeCells count="5">
    <mergeCell ref="A1:B1"/>
    <mergeCell ref="D1:F1"/>
    <mergeCell ref="A35:B35"/>
    <mergeCell ref="H1:K1"/>
    <mergeCell ref="M1:P1"/>
  </mergeCells>
  <dataValidations count="1">
    <dataValidation type="list" allowBlank="1" showInputMessage="1" showErrorMessage="1" sqref="D15:D42">
      <formula1>Item</formula1>
    </dataValidation>
  </dataValidations>
  <pageMargins left="0.7" right="0.7" top="0.75" bottom="0.75" header="0.3" footer="0.3"/>
  <pageSetup orientation="portrait"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0"/>
  <sheetViews>
    <sheetView workbookViewId="0">
      <selection activeCell="C31" sqref="C31"/>
    </sheetView>
  </sheetViews>
  <sheetFormatPr baseColWidth="10" defaultRowHeight="16" x14ac:dyDescent="0.2"/>
  <cols>
    <col min="1" max="1" width="10.83203125" style="61"/>
    <col min="3" max="3" width="10.83203125" style="62"/>
  </cols>
  <sheetData>
    <row r="1" spans="1:7" x14ac:dyDescent="0.2">
      <c r="A1" s="61" t="e">
        <f>Calculator!F15/Calculator!$B$16</f>
        <v>#DIV/0!</v>
      </c>
      <c r="B1" t="e">
        <f>IF(A1&gt;0.25,1,0)</f>
        <v>#DIV/0!</v>
      </c>
      <c r="C1" s="62" t="e">
        <f>IF(B1=1,IF(Calculator!F15-(Calculator!$B$16*0.25)&gt;Calculator!$F$44-Calculator!$B$16,1,0),0)</f>
        <v>#DIV/0!</v>
      </c>
      <c r="D1" t="e">
        <f>VLOOKUP(Calculator!D15,Calculator!$H$3:$J$44,3,FALSE)</f>
        <v>#N/A</v>
      </c>
      <c r="E1">
        <f>Calculator!E15</f>
        <v>0</v>
      </c>
      <c r="F1" t="s">
        <v>25</v>
      </c>
      <c r="G1">
        <f t="shared" ref="G1:G5" si="0">SUMIFS($E$1:$E$29,$D$1:$D$29,F1)</f>
        <v>0</v>
      </c>
    </row>
    <row r="2" spans="1:7" x14ac:dyDescent="0.2">
      <c r="A2" s="61" t="e">
        <f>Calculator!F16/Calculator!$B$16</f>
        <v>#DIV/0!</v>
      </c>
      <c r="B2" t="e">
        <f t="shared" ref="B2:B29" si="1">IF(A2&gt;0.25,1,0)</f>
        <v>#DIV/0!</v>
      </c>
      <c r="C2" s="62" t="e">
        <f>IF(B2=1,IF(Calculator!F16-(Calculator!$B$16*0.25)&gt;Calculator!$F$44-Calculator!$B$16,1,0),0)</f>
        <v>#DIV/0!</v>
      </c>
      <c r="D2" t="e">
        <f>VLOOKUP(Calculator!D16,Calculator!$H$3:$J$44,3,FALSE)</f>
        <v>#N/A</v>
      </c>
      <c r="E2">
        <f>Calculator!E16</f>
        <v>0</v>
      </c>
      <c r="F2" t="s">
        <v>34</v>
      </c>
      <c r="G2">
        <f t="shared" si="0"/>
        <v>0</v>
      </c>
    </row>
    <row r="3" spans="1:7" x14ac:dyDescent="0.2">
      <c r="A3" s="61" t="e">
        <f>Calculator!F17/Calculator!$B$16</f>
        <v>#DIV/0!</v>
      </c>
      <c r="B3" t="e">
        <f t="shared" si="1"/>
        <v>#DIV/0!</v>
      </c>
      <c r="C3" s="62" t="e">
        <f>IF(B3=1,IF(Calculator!F17-(Calculator!$B$16*0.25)&gt;Calculator!$F$44-Calculator!$B$16,1,0),0)</f>
        <v>#DIV/0!</v>
      </c>
      <c r="D3" t="e">
        <f>VLOOKUP(Calculator!D17,Calculator!$H$3:$J$44,3,FALSE)</f>
        <v>#N/A</v>
      </c>
      <c r="E3">
        <f>Calculator!E17</f>
        <v>0</v>
      </c>
      <c r="F3" t="s">
        <v>43</v>
      </c>
      <c r="G3">
        <f>SUMIFS($E$1:$E$29,$D$1:$D$29,F3)</f>
        <v>0</v>
      </c>
    </row>
    <row r="4" spans="1:7" x14ac:dyDescent="0.2">
      <c r="A4" s="61" t="e">
        <f>Calculator!F18/Calculator!$B$16</f>
        <v>#DIV/0!</v>
      </c>
      <c r="B4" t="e">
        <f t="shared" si="1"/>
        <v>#DIV/0!</v>
      </c>
      <c r="C4" s="62" t="e">
        <f>IF(B4=1,IF(Calculator!F18-(Calculator!$B$16*0.25)&gt;Calculator!$F$44-Calculator!$B$16,1,0),0)</f>
        <v>#DIV/0!</v>
      </c>
      <c r="D4" t="e">
        <f>VLOOKUP(Calculator!D18,Calculator!$H$3:$J$44,3,FALSE)</f>
        <v>#N/A</v>
      </c>
      <c r="E4">
        <f>Calculator!E18</f>
        <v>0</v>
      </c>
      <c r="F4" t="s">
        <v>50</v>
      </c>
      <c r="G4">
        <f t="shared" si="0"/>
        <v>0</v>
      </c>
    </row>
    <row r="5" spans="1:7" x14ac:dyDescent="0.2">
      <c r="A5" s="61" t="e">
        <f>Calculator!F19/Calculator!$B$16</f>
        <v>#DIV/0!</v>
      </c>
      <c r="B5" t="e">
        <f t="shared" si="1"/>
        <v>#DIV/0!</v>
      </c>
      <c r="C5" s="62" t="e">
        <f>IF(B5=1,IF(Calculator!F19-(Calculator!$B$16*0.25)&gt;Calculator!$F$44-Calculator!$B$16,1,0),0)</f>
        <v>#DIV/0!</v>
      </c>
      <c r="D5" t="e">
        <f>VLOOKUP(Calculator!D19,Calculator!$H$3:$J$44,3,FALSE)</f>
        <v>#N/A</v>
      </c>
      <c r="E5">
        <f>Calculator!E19</f>
        <v>0</v>
      </c>
      <c r="F5" t="s">
        <v>59</v>
      </c>
      <c r="G5">
        <f t="shared" si="0"/>
        <v>0</v>
      </c>
    </row>
    <row r="6" spans="1:7" x14ac:dyDescent="0.2">
      <c r="A6" s="61" t="e">
        <f>Calculator!F20/Calculator!$B$16</f>
        <v>#DIV/0!</v>
      </c>
      <c r="B6" t="e">
        <f t="shared" si="1"/>
        <v>#DIV/0!</v>
      </c>
      <c r="C6" s="62" t="e">
        <f>IF(B6=1,IF(Calculator!F20-(Calculator!$B$16*0.25)&gt;Calculator!$F$44-Calculator!$B$16,1,0),0)</f>
        <v>#DIV/0!</v>
      </c>
      <c r="D6" t="e">
        <f>VLOOKUP(Calculator!D20,Calculator!$H$3:$J$44,3,FALSE)</f>
        <v>#N/A</v>
      </c>
      <c r="E6">
        <f>Calculator!E20</f>
        <v>0</v>
      </c>
      <c r="F6" t="s">
        <v>71</v>
      </c>
      <c r="G6">
        <f>SUMIFS($E$1:$E$29,$D$1:$D$29,F6)</f>
        <v>0</v>
      </c>
    </row>
    <row r="7" spans="1:7" x14ac:dyDescent="0.2">
      <c r="A7" s="61" t="e">
        <f>Calculator!F21/Calculator!$B$16</f>
        <v>#DIV/0!</v>
      </c>
      <c r="B7" t="e">
        <f t="shared" si="1"/>
        <v>#DIV/0!</v>
      </c>
      <c r="C7" s="62" t="e">
        <f>IF(B7=1,IF(Calculator!F21-(Calculator!$B$16*0.25)&gt;Calculator!$F$44-Calculator!$B$16,1,0),0)</f>
        <v>#DIV/0!</v>
      </c>
      <c r="D7" t="e">
        <f>VLOOKUP(Calculator!D21,Calculator!$H$3:$J$44,3,FALSE)</f>
        <v>#N/A</v>
      </c>
      <c r="E7">
        <f>Calculator!E21</f>
        <v>0</v>
      </c>
      <c r="F7" t="s">
        <v>97</v>
      </c>
      <c r="G7">
        <f>COUNTIF(Calculator!D15:D43,"*restroom*")</f>
        <v>0</v>
      </c>
    </row>
    <row r="8" spans="1:7" x14ac:dyDescent="0.2">
      <c r="A8" s="61" t="e">
        <f>Calculator!F22/Calculator!$B$16</f>
        <v>#DIV/0!</v>
      </c>
      <c r="B8" t="e">
        <f t="shared" si="1"/>
        <v>#DIV/0!</v>
      </c>
      <c r="C8" s="62" t="e">
        <f>IF(B8=1,IF(Calculator!F22-(Calculator!$B$16*0.25)&gt;Calculator!$F$44-Calculator!$B$16,1,0),0)</f>
        <v>#DIV/0!</v>
      </c>
      <c r="D8" t="e">
        <f>VLOOKUP(Calculator!D22,Calculator!$H$3:$J$44,3,FALSE)</f>
        <v>#N/A</v>
      </c>
      <c r="E8">
        <f>Calculator!E22</f>
        <v>0</v>
      </c>
    </row>
    <row r="9" spans="1:7" x14ac:dyDescent="0.2">
      <c r="A9" s="61" t="e">
        <f>Calculator!F23/Calculator!$B$16</f>
        <v>#DIV/0!</v>
      </c>
      <c r="B9" t="e">
        <f t="shared" si="1"/>
        <v>#DIV/0!</v>
      </c>
      <c r="C9" s="62" t="e">
        <f>IF(B9=1,IF(Calculator!F23-(Calculator!$B$16*0.25)&gt;Calculator!$F$44-Calculator!$B$16,1,0),0)</f>
        <v>#DIV/0!</v>
      </c>
      <c r="D9" t="e">
        <f>VLOOKUP(Calculator!D23,Calculator!$H$3:$J$44,3,FALSE)</f>
        <v>#N/A</v>
      </c>
      <c r="E9">
        <f>Calculator!E23</f>
        <v>0</v>
      </c>
      <c r="F9" t="str">
        <f>IF(AND(G3&gt;=1,G4&gt;=1,G5&gt;=1),"Categories C, D, and E Provided","Items not provided from Categories C, D, or E")</f>
        <v>Items not provided from Categories C, D, or E</v>
      </c>
    </row>
    <row r="10" spans="1:7" x14ac:dyDescent="0.2">
      <c r="A10" s="61" t="e">
        <f>Calculator!F24/Calculator!$B$16</f>
        <v>#DIV/0!</v>
      </c>
      <c r="B10" t="e">
        <f t="shared" si="1"/>
        <v>#DIV/0!</v>
      </c>
      <c r="C10" s="62" t="e">
        <f>IF(B10=1,IF(Calculator!F24-(Calculator!$B$16*0.25)&gt;Calculator!$F$44-Calculator!$B$16,1,0),0)</f>
        <v>#DIV/0!</v>
      </c>
      <c r="D10" t="e">
        <f>VLOOKUP(Calculator!D24,Calculator!$H$3:$J$44,3,FALSE)</f>
        <v>#N/A</v>
      </c>
      <c r="E10">
        <f>Calculator!E24</f>
        <v>0</v>
      </c>
      <c r="F10" t="str">
        <f>IF(Calculator!F12&gt;=5,"A or B, 3 from P, and 1 Restroom Also Required","Less than 5 EA, A/B/P/Restroom Not Also Required")</f>
        <v>Less than 5 EA, A/B/P/Restroom Not Also Required</v>
      </c>
    </row>
    <row r="11" spans="1:7" x14ac:dyDescent="0.2">
      <c r="A11" s="61" t="e">
        <f>Calculator!F25/Calculator!$B$16</f>
        <v>#DIV/0!</v>
      </c>
      <c r="B11" t="e">
        <f t="shared" si="1"/>
        <v>#DIV/0!</v>
      </c>
      <c r="C11" s="62" t="e">
        <f>IF(B11=1,IF(Calculator!F25-(Calculator!$B$16*0.25)&gt;Calculator!$F$44-Calculator!$B$16,1,0),0)</f>
        <v>#DIV/0!</v>
      </c>
      <c r="D11" t="e">
        <f>VLOOKUP(Calculator!D25,Calculator!$H$3:$J$44,3,FALSE)</f>
        <v>#N/A</v>
      </c>
      <c r="E11">
        <f>Calculator!E25</f>
        <v>0</v>
      </c>
      <c r="F11" t="str">
        <f>IF(AND(Calculator!F12&gt;=5,OR(Sheet2!G1&gt;=1,Sheet2!G2&gt;=1),Sheet2!G6&gt;=3,Sheet2!G7&gt;=1),"A or B, 3 from P, and Restroom Provided","Missing A, B, P, or Restroom")</f>
        <v>Missing A, B, P, or Restroom</v>
      </c>
    </row>
    <row r="12" spans="1:7" x14ac:dyDescent="0.2">
      <c r="A12" s="61" t="e">
        <f>Calculator!F26/Calculator!$B$16</f>
        <v>#DIV/0!</v>
      </c>
      <c r="B12" t="e">
        <f t="shared" si="1"/>
        <v>#DIV/0!</v>
      </c>
      <c r="C12" s="62" t="e">
        <f>IF(B12=1,IF(Calculator!F26-(Calculator!$B$16*0.25)&gt;Calculator!$F$44-Calculator!$B$16,1,0),0)</f>
        <v>#DIV/0!</v>
      </c>
      <c r="D12" t="e">
        <f>VLOOKUP(Calculator!D26,Calculator!$H$3:$J$44,3,FALSE)</f>
        <v>#N/A</v>
      </c>
      <c r="E12">
        <f>Calculator!E26</f>
        <v>0</v>
      </c>
    </row>
    <row r="13" spans="1:7" x14ac:dyDescent="0.2">
      <c r="A13" s="61" t="e">
        <f>Calculator!F27/Calculator!$B$16</f>
        <v>#DIV/0!</v>
      </c>
      <c r="B13" t="e">
        <f t="shared" si="1"/>
        <v>#DIV/0!</v>
      </c>
      <c r="C13" s="62" t="e">
        <f>IF(B13=1,IF(Calculator!F27-(Calculator!$B$16*0.25)&gt;Calculator!$F$44-Calculator!$B$16,1,0),0)</f>
        <v>#DIV/0!</v>
      </c>
      <c r="D13" t="e">
        <f>VLOOKUP(Calculator!D27,Calculator!$H$3:$J$44,3,FALSE)</f>
        <v>#N/A</v>
      </c>
      <c r="E13">
        <f>Calculator!E27</f>
        <v>0</v>
      </c>
    </row>
    <row r="14" spans="1:7" x14ac:dyDescent="0.2">
      <c r="A14" s="61" t="e">
        <f>Calculator!F28/Calculator!$B$16</f>
        <v>#DIV/0!</v>
      </c>
      <c r="B14" t="e">
        <f t="shared" si="1"/>
        <v>#DIV/0!</v>
      </c>
      <c r="C14" s="62" t="e">
        <f>IF(B14=1,IF(Calculator!F28-(Calculator!$B$16*0.25)&gt;Calculator!$F$44-Calculator!$B$16,1,0),0)</f>
        <v>#DIV/0!</v>
      </c>
      <c r="D14" t="e">
        <f>VLOOKUP(Calculator!D28,Calculator!$H$3:$J$44,3,FALSE)</f>
        <v>#N/A</v>
      </c>
      <c r="E14">
        <f>Calculator!E28</f>
        <v>0</v>
      </c>
    </row>
    <row r="15" spans="1:7" x14ac:dyDescent="0.2">
      <c r="A15" s="61" t="e">
        <f>Calculator!F29/Calculator!$B$16</f>
        <v>#DIV/0!</v>
      </c>
      <c r="B15" t="e">
        <f t="shared" si="1"/>
        <v>#DIV/0!</v>
      </c>
      <c r="C15" s="62" t="e">
        <f>IF(B15=1,IF(Calculator!F29-(Calculator!$B$16*0.25)&gt;Calculator!$F$44-Calculator!$B$16,1,0),0)</f>
        <v>#DIV/0!</v>
      </c>
      <c r="D15" t="e">
        <f>VLOOKUP(Calculator!D29,Calculator!$H$3:$J$44,3,FALSE)</f>
        <v>#N/A</v>
      </c>
      <c r="E15">
        <f>Calculator!E29</f>
        <v>0</v>
      </c>
    </row>
    <row r="16" spans="1:7" x14ac:dyDescent="0.2">
      <c r="A16" s="61" t="e">
        <f>Calculator!F30/Calculator!$B$16</f>
        <v>#DIV/0!</v>
      </c>
      <c r="B16" t="e">
        <f t="shared" si="1"/>
        <v>#DIV/0!</v>
      </c>
      <c r="C16" s="62" t="e">
        <f>IF(B16=1,IF(Calculator!F30-(Calculator!$B$16*0.25)&gt;Calculator!$F$44-Calculator!$B$16,1,0),0)</f>
        <v>#DIV/0!</v>
      </c>
      <c r="D16" t="e">
        <f>VLOOKUP(Calculator!D30,Calculator!$H$3:$J$44,3,FALSE)</f>
        <v>#N/A</v>
      </c>
      <c r="E16">
        <f>Calculator!E30</f>
        <v>0</v>
      </c>
    </row>
    <row r="17" spans="1:5" x14ac:dyDescent="0.2">
      <c r="A17" s="61" t="e">
        <f>Calculator!F31/Calculator!$B$16</f>
        <v>#DIV/0!</v>
      </c>
      <c r="B17" t="e">
        <f t="shared" si="1"/>
        <v>#DIV/0!</v>
      </c>
      <c r="C17" s="62" t="e">
        <f>IF(B17=1,IF(Calculator!F31-(Calculator!$B$16*0.25)&gt;Calculator!$F$44-Calculator!$B$16,1,0),0)</f>
        <v>#DIV/0!</v>
      </c>
      <c r="D17" t="e">
        <f>VLOOKUP(Calculator!D31,Calculator!$H$3:$J$44,3,FALSE)</f>
        <v>#N/A</v>
      </c>
      <c r="E17">
        <f>Calculator!E31</f>
        <v>0</v>
      </c>
    </row>
    <row r="18" spans="1:5" x14ac:dyDescent="0.2">
      <c r="A18" s="61" t="e">
        <f>Calculator!F32/Calculator!$B$16</f>
        <v>#DIV/0!</v>
      </c>
      <c r="B18" t="e">
        <f t="shared" si="1"/>
        <v>#DIV/0!</v>
      </c>
      <c r="C18" s="62" t="e">
        <f>IF(B18=1,IF(Calculator!F32-(Calculator!$B$16*0.25)&gt;Calculator!$F$44-Calculator!$B$16,1,0),0)</f>
        <v>#DIV/0!</v>
      </c>
      <c r="D18" t="e">
        <f>VLOOKUP(Calculator!D32,Calculator!$H$3:$J$44,3,FALSE)</f>
        <v>#N/A</v>
      </c>
      <c r="E18">
        <f>Calculator!E32</f>
        <v>0</v>
      </c>
    </row>
    <row r="19" spans="1:5" x14ac:dyDescent="0.2">
      <c r="A19" s="61" t="e">
        <f>Calculator!F33/Calculator!$B$16</f>
        <v>#DIV/0!</v>
      </c>
      <c r="B19" t="e">
        <f t="shared" si="1"/>
        <v>#DIV/0!</v>
      </c>
      <c r="C19" s="62" t="e">
        <f>IF(B19=1,IF(Calculator!F33-(Calculator!$B$16*0.25)&gt;Calculator!$F$44-Calculator!$B$16,1,0),0)</f>
        <v>#DIV/0!</v>
      </c>
      <c r="D19" t="e">
        <f>VLOOKUP(Calculator!D33,Calculator!$H$3:$J$44,3,FALSE)</f>
        <v>#N/A</v>
      </c>
      <c r="E19">
        <f>Calculator!E33</f>
        <v>0</v>
      </c>
    </row>
    <row r="20" spans="1:5" x14ac:dyDescent="0.2">
      <c r="A20" s="61" t="e">
        <f>Calculator!F34/Calculator!$B$16</f>
        <v>#DIV/0!</v>
      </c>
      <c r="B20" t="e">
        <f t="shared" si="1"/>
        <v>#DIV/0!</v>
      </c>
      <c r="C20" s="62" t="e">
        <f>IF(B20=1,IF(Calculator!F34-(Calculator!$B$16*0.25)&gt;Calculator!$F$44-Calculator!$B$16,1,0),0)</f>
        <v>#DIV/0!</v>
      </c>
      <c r="D20" t="e">
        <f>VLOOKUP(Calculator!D34,Calculator!$H$3:$J$44,3,FALSE)</f>
        <v>#N/A</v>
      </c>
      <c r="E20">
        <f>Calculator!E34</f>
        <v>0</v>
      </c>
    </row>
    <row r="21" spans="1:5" x14ac:dyDescent="0.2">
      <c r="A21" s="61" t="e">
        <f>Calculator!F35/Calculator!$B$16</f>
        <v>#DIV/0!</v>
      </c>
      <c r="B21" t="e">
        <f t="shared" si="1"/>
        <v>#DIV/0!</v>
      </c>
      <c r="C21" s="62" t="e">
        <f>IF(B21=1,IF(Calculator!F35-(Calculator!$B$16*0.25)&gt;Calculator!$F$44-Calculator!$B$16,1,0),0)</f>
        <v>#DIV/0!</v>
      </c>
      <c r="D21" t="e">
        <f>VLOOKUP(Calculator!D35,Calculator!$H$3:$J$44,3,FALSE)</f>
        <v>#N/A</v>
      </c>
      <c r="E21">
        <f>Calculator!E35</f>
        <v>0</v>
      </c>
    </row>
    <row r="22" spans="1:5" x14ac:dyDescent="0.2">
      <c r="A22" s="61" t="e">
        <f>Calculator!F36/Calculator!$B$16</f>
        <v>#DIV/0!</v>
      </c>
      <c r="B22" t="e">
        <f t="shared" si="1"/>
        <v>#DIV/0!</v>
      </c>
      <c r="C22" s="62" t="e">
        <f>IF(B22=1,IF(Calculator!F36-(Calculator!$B$16*0.25)&gt;Calculator!$F$44-Calculator!$B$16,1,0),0)</f>
        <v>#DIV/0!</v>
      </c>
      <c r="D22" t="e">
        <f>VLOOKUP(Calculator!D36,Calculator!$H$3:$J$44,3,FALSE)</f>
        <v>#N/A</v>
      </c>
      <c r="E22">
        <f>Calculator!E36</f>
        <v>0</v>
      </c>
    </row>
    <row r="23" spans="1:5" x14ac:dyDescent="0.2">
      <c r="A23" s="61" t="e">
        <f>Calculator!F37/Calculator!$B$16</f>
        <v>#DIV/0!</v>
      </c>
      <c r="B23" t="e">
        <f t="shared" si="1"/>
        <v>#DIV/0!</v>
      </c>
      <c r="C23" s="62" t="e">
        <f>IF(B23=1,IF(Calculator!F37-(Calculator!$B$16*0.25)&gt;Calculator!$F$44-Calculator!$B$16,1,0),0)</f>
        <v>#DIV/0!</v>
      </c>
      <c r="D23" t="e">
        <f>VLOOKUP(Calculator!D37,Calculator!$H$3:$J$44,3,FALSE)</f>
        <v>#N/A</v>
      </c>
      <c r="E23">
        <f>Calculator!E37</f>
        <v>0</v>
      </c>
    </row>
    <row r="24" spans="1:5" x14ac:dyDescent="0.2">
      <c r="A24" s="61" t="e">
        <f>Calculator!F38/Calculator!$B$16</f>
        <v>#DIV/0!</v>
      </c>
      <c r="B24" t="e">
        <f t="shared" si="1"/>
        <v>#DIV/0!</v>
      </c>
      <c r="C24" s="62" t="e">
        <f>IF(B24=1,IF(Calculator!F38-(Calculator!$B$16*0.25)&gt;Calculator!$F$44-Calculator!$B$16,1,0),0)</f>
        <v>#DIV/0!</v>
      </c>
      <c r="D24" t="e">
        <f>VLOOKUP(Calculator!D38,Calculator!$H$3:$J$44,3,FALSE)</f>
        <v>#N/A</v>
      </c>
      <c r="E24">
        <f>Calculator!E38</f>
        <v>0</v>
      </c>
    </row>
    <row r="25" spans="1:5" x14ac:dyDescent="0.2">
      <c r="A25" s="61" t="e">
        <f>Calculator!F39/Calculator!$B$16</f>
        <v>#DIV/0!</v>
      </c>
      <c r="B25" t="e">
        <f t="shared" si="1"/>
        <v>#DIV/0!</v>
      </c>
      <c r="C25" s="62" t="e">
        <f>IF(B25=1,IF(Calculator!F39-(Calculator!$B$16*0.25)&gt;Calculator!$F$44-Calculator!$B$16,1,0),0)</f>
        <v>#DIV/0!</v>
      </c>
      <c r="D25" t="e">
        <f>VLOOKUP(Calculator!D39,Calculator!$H$3:$J$44,3,FALSE)</f>
        <v>#N/A</v>
      </c>
      <c r="E25">
        <f>Calculator!E39</f>
        <v>0</v>
      </c>
    </row>
    <row r="26" spans="1:5" x14ac:dyDescent="0.2">
      <c r="A26" s="61" t="e">
        <f>Calculator!F40/Calculator!$B$16</f>
        <v>#DIV/0!</v>
      </c>
      <c r="B26" t="e">
        <f t="shared" si="1"/>
        <v>#DIV/0!</v>
      </c>
      <c r="C26" s="62" t="e">
        <f>IF(B26=1,IF(Calculator!F40-(Calculator!$B$16*0.25)&gt;Calculator!$F$44-Calculator!$B$16,1,0),0)</f>
        <v>#DIV/0!</v>
      </c>
      <c r="D26" t="e">
        <f>VLOOKUP(Calculator!D40,Calculator!$H$3:$J$44,3,FALSE)</f>
        <v>#N/A</v>
      </c>
      <c r="E26">
        <f>Calculator!E40</f>
        <v>0</v>
      </c>
    </row>
    <row r="27" spans="1:5" x14ac:dyDescent="0.2">
      <c r="A27" s="61" t="e">
        <f>Calculator!F41/Calculator!$B$16</f>
        <v>#DIV/0!</v>
      </c>
      <c r="B27" t="e">
        <f t="shared" si="1"/>
        <v>#DIV/0!</v>
      </c>
      <c r="C27" s="62" t="e">
        <f>IF(B27=1,IF(Calculator!F41-(Calculator!$B$16*0.25)&gt;Calculator!$F$44-Calculator!$B$16,1,0),0)</f>
        <v>#DIV/0!</v>
      </c>
      <c r="D27" t="e">
        <f>VLOOKUP(Calculator!D41,Calculator!$H$3:$J$44,3,FALSE)</f>
        <v>#N/A</v>
      </c>
      <c r="E27">
        <f>Calculator!E41</f>
        <v>0</v>
      </c>
    </row>
    <row r="28" spans="1:5" x14ac:dyDescent="0.2">
      <c r="A28" s="61" t="e">
        <f>Calculator!F42/Calculator!$B$16</f>
        <v>#DIV/0!</v>
      </c>
      <c r="B28" t="e">
        <f t="shared" si="1"/>
        <v>#DIV/0!</v>
      </c>
      <c r="C28" s="62" t="e">
        <f>IF(B28=1,IF(Calculator!F42-(Calculator!$B$16*0.25)&gt;Calculator!$F$44-Calculator!$B$16,1,0),0)</f>
        <v>#DIV/0!</v>
      </c>
      <c r="D28" t="e">
        <f>VLOOKUP(Calculator!D42,Calculator!$H$3:$J$44,3,FALSE)</f>
        <v>#N/A</v>
      </c>
      <c r="E28">
        <f>Calculator!E42</f>
        <v>0</v>
      </c>
    </row>
    <row r="29" spans="1:5" x14ac:dyDescent="0.2">
      <c r="A29" s="61" t="e">
        <f>Calculator!F43/Calculator!$B$16</f>
        <v>#DIV/0!</v>
      </c>
      <c r="B29" t="e">
        <f t="shared" si="1"/>
        <v>#DIV/0!</v>
      </c>
      <c r="C29" s="62" t="e">
        <f>IF(B29=1,IF(Calculator!F43-(Calculator!$B$16*0.25)&gt;Calculator!$F$44-Calculator!$B$16,1,0),0)</f>
        <v>#DIV/0!</v>
      </c>
      <c r="D29" t="e">
        <f>VLOOKUP(Calculator!D43,Calculator!$H$3:$J$44,3,FALSE)</f>
        <v>#N/A</v>
      </c>
      <c r="E29" t="str">
        <f>Calculator!E43</f>
        <v>insert value in dollars here</v>
      </c>
    </row>
    <row r="30" spans="1:5" x14ac:dyDescent="0.2">
      <c r="C30" s="62">
        <f>IFERROR(SUM(C1:C29),0)</f>
        <v>0</v>
      </c>
    </row>
  </sheetData>
  <sheetProtection password="ED39"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Calculator</vt:lpstr>
      <vt:lpstr>Sheet2</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Kimber Lea Gabryszak</dc:creator>
  <cp:lastModifiedBy>Microsoft Office User</cp:lastModifiedBy>
  <dcterms:created xsi:type="dcterms:W3CDTF">2016-10-25T17:24:37Z</dcterms:created>
  <dcterms:modified xsi:type="dcterms:W3CDTF">2017-03-29T22:38:30Z</dcterms:modified>
</cp:coreProperties>
</file>