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S:\BUILDING DEPARTMENT\Impact Fees @ Building Permit\"/>
    </mc:Choice>
  </mc:AlternateContent>
  <xr:revisionPtr revIDLastSave="0" documentId="13_ncr:1_{45D18AFB-E0E7-4B95-9F61-62B40EA65E39}" xr6:coauthVersionLast="47" xr6:coauthVersionMax="47" xr10:uidLastSave="{00000000-0000-0000-0000-000000000000}"/>
  <bookViews>
    <workbookView xWindow="-28920" yWindow="-870" windowWidth="29040" windowHeight="15720" tabRatio="856" activeTab="1" xr2:uid="{00000000-000D-0000-FFFF-FFFF00000000}"/>
  </bookViews>
  <sheets>
    <sheet name="Lookup Tables" sheetId="11" r:id="rId1"/>
    <sheet name="Building X" sheetId="8" r:id="rId2"/>
    <sheet name="Create Copy of Bld X " sheetId="10" r:id="rId3"/>
  </sheets>
  <definedNames>
    <definedName name="_xlnm.Print_Area" localSheetId="1">'Building X'!$A$1:$F$98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4" i="8" l="1"/>
  <c r="D29" i="8" l="1"/>
  <c r="D15" i="8"/>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7" i="11"/>
  <c r="R36" i="11"/>
  <c r="R35" i="11"/>
  <c r="R34" i="11"/>
  <c r="R33" i="11"/>
  <c r="R32" i="11"/>
  <c r="R31" i="11"/>
  <c r="R30" i="11"/>
  <c r="R29" i="11"/>
  <c r="R28" i="11"/>
  <c r="R27" i="11"/>
  <c r="R26" i="11"/>
  <c r="R25" i="11"/>
  <c r="R24" i="11"/>
  <c r="R23" i="11"/>
  <c r="R22" i="11"/>
  <c r="R21" i="11"/>
  <c r="R20" i="11"/>
  <c r="R19" i="11"/>
  <c r="R18" i="11"/>
  <c r="R17" i="11"/>
  <c r="R16" i="11"/>
  <c r="R15" i="11"/>
  <c r="R14" i="11"/>
  <c r="R13" i="11"/>
  <c r="R12" i="11"/>
  <c r="R11" i="11"/>
  <c r="R10" i="11"/>
  <c r="R9" i="11"/>
  <c r="R8" i="11"/>
  <c r="R7" i="11"/>
  <c r="R6" i="11"/>
  <c r="C14" i="8"/>
  <c r="D17" i="8"/>
  <c r="F43" i="8" l="1"/>
  <c r="E43" i="8"/>
  <c r="F42" i="8"/>
  <c r="D43" i="8"/>
  <c r="E42" i="8"/>
  <c r="D42" i="8"/>
  <c r="D36" i="8" l="1"/>
  <c r="D35" i="8"/>
  <c r="D30" i="8" l="1"/>
  <c r="D73" i="8" l="1"/>
  <c r="D75" i="8" s="1"/>
  <c r="D68" i="8"/>
  <c r="D70" i="8" s="1"/>
  <c r="D82" i="8" l="1"/>
  <c r="D90" i="8" l="1"/>
  <c r="D34" i="8" l="1"/>
  <c r="D33" i="8"/>
  <c r="D38" i="8" s="1"/>
  <c r="D19" i="8" l="1"/>
  <c r="E47" i="8"/>
  <c r="F47" i="8"/>
  <c r="D59" i="8"/>
  <c r="B93" i="8" l="1"/>
  <c r="F72" i="8"/>
  <c r="D47" i="8" l="1"/>
  <c r="D48" i="8" s="1"/>
  <c r="D51" i="8"/>
  <c r="D54" i="8"/>
  <c r="D22" i="8"/>
  <c r="D25" i="8" s="1"/>
  <c r="D85" i="8"/>
  <c r="D64" i="8" l="1"/>
  <c r="D78" i="8"/>
  <c r="D9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McRae</author>
  </authors>
  <commentList>
    <comment ref="O4" authorId="0" shapeId="0" xr:uid="{00000000-0006-0000-0000-000001000000}">
      <text>
        <r>
          <rPr>
            <b/>
            <sz val="9"/>
            <color indexed="81"/>
            <rFont val="Tahoma"/>
            <family val="2"/>
          </rPr>
          <t xml:space="preserve"> see next 2 columns where all ITE trip generation rates have been 
decreased by 50 percent to account for the differences between the model used for trip generation and 
ITE trip generation rates. Some categories have been further reduced to account for pass-by trips</t>
        </r>
        <r>
          <rPr>
            <sz val="9"/>
            <color indexed="81"/>
            <rFont val="Tahoma"/>
            <family val="2"/>
          </rPr>
          <t xml:space="preserve">
</t>
        </r>
      </text>
    </comment>
  </commentList>
</comments>
</file>

<file path=xl/sharedStrings.xml><?xml version="1.0" encoding="utf-8"?>
<sst xmlns="http://schemas.openxmlformats.org/spreadsheetml/2006/main" count="242" uniqueCount="181">
  <si>
    <t>Water rights required per unit</t>
  </si>
  <si>
    <t>Cost of water right per acre foot</t>
  </si>
  <si>
    <t>Water rights required per irrigable acre</t>
  </si>
  <si>
    <t>Acre Feet</t>
  </si>
  <si>
    <t>Total cost of secondary water rights</t>
  </si>
  <si>
    <t>Secondary Water Rights</t>
  </si>
  <si>
    <t>Total Water Rights Required</t>
  </si>
  <si>
    <t>Total secondary water rights required</t>
  </si>
  <si>
    <t>Road Impact Fee Total</t>
  </si>
  <si>
    <t>Public Safety Impact Fee</t>
  </si>
  <si>
    <t>Sewer Impact Fee</t>
  </si>
  <si>
    <t>Project Data</t>
  </si>
  <si>
    <t>TSSD Sewer Impact Fee Total</t>
  </si>
  <si>
    <t>City Sewer Impact Fee Total</t>
  </si>
  <si>
    <t>Public Safety Impact Fee Total</t>
  </si>
  <si>
    <t>Secondary Water Impact Fee</t>
  </si>
  <si>
    <t>Total Impact Fees</t>
  </si>
  <si>
    <t>City Portion of secondary impact fee</t>
  </si>
  <si>
    <t>Total Irrigable acres</t>
  </si>
  <si>
    <t>South of Pony Express</t>
  </si>
  <si>
    <t>South Harbor Bay</t>
  </si>
  <si>
    <t>North of Pony Express</t>
  </si>
  <si>
    <t>North Harbor Bay</t>
  </si>
  <si>
    <t>TSSD impact fee per Unit (ERC)</t>
  </si>
  <si>
    <t>This Invoice Must Accompany Payment</t>
  </si>
  <si>
    <t>(If not already paid with plat recordation)</t>
  </si>
  <si>
    <t xml:space="preserve">Storm Drain Impact Fee </t>
  </si>
  <si>
    <t>Cost of impact fee per acre</t>
  </si>
  <si>
    <t>Paid with Plat Recordation</t>
  </si>
  <si>
    <t>YES</t>
  </si>
  <si>
    <t>Total Site Acreage</t>
  </si>
  <si>
    <t>Fire Flow GPM</t>
  </si>
  <si>
    <t>Fire Flow Impact Fee</t>
  </si>
  <si>
    <t>(GPM)</t>
  </si>
  <si>
    <t>Do Not Change/Delete or Move this Table below -DM</t>
  </si>
  <si>
    <r>
      <t>1000 ft</t>
    </r>
    <r>
      <rPr>
        <vertAlign val="superscript"/>
        <sz val="10"/>
        <rFont val="Arial"/>
        <family val="2"/>
      </rPr>
      <t>2</t>
    </r>
    <r>
      <rPr>
        <sz val="10"/>
        <rFont val="Arial"/>
        <family val="2"/>
      </rPr>
      <t xml:space="preserve"> Gross Floor Area</t>
    </r>
  </si>
  <si>
    <t>Code</t>
  </si>
  <si>
    <t>Category</t>
  </si>
  <si>
    <t>Units; Per</t>
  </si>
  <si>
    <t>Additional Factor - Pass By Factors</t>
  </si>
  <si>
    <t>Maximum Fee</t>
  </si>
  <si>
    <t>General Manufacturing</t>
  </si>
  <si>
    <t>Single-Family Detached Housing</t>
  </si>
  <si>
    <t>Dwelling Unit</t>
  </si>
  <si>
    <t>Mobile Home / RV Park</t>
  </si>
  <si>
    <t>Bed</t>
  </si>
  <si>
    <t>Hotel</t>
  </si>
  <si>
    <t>Room</t>
  </si>
  <si>
    <t>Movie Theatre &lt;10 Screens</t>
  </si>
  <si>
    <t>Movie Theatre &gt;10 Screens</t>
  </si>
  <si>
    <t>Health/Fitness Club</t>
  </si>
  <si>
    <t>Elementary School</t>
  </si>
  <si>
    <t>Middle School/Junior High School</t>
  </si>
  <si>
    <t>High School</t>
  </si>
  <si>
    <t>Private School (K-8)</t>
  </si>
  <si>
    <t>Church</t>
  </si>
  <si>
    <t>Day Care Center</t>
  </si>
  <si>
    <t>Library</t>
  </si>
  <si>
    <t>Hospital</t>
  </si>
  <si>
    <t>General Office Building</t>
  </si>
  <si>
    <t>Medical-Dental Office Building</t>
  </si>
  <si>
    <t>Business Park</t>
  </si>
  <si>
    <t>Building Materials and Lumber Store</t>
  </si>
  <si>
    <t>Nursery (Garden Center)</t>
  </si>
  <si>
    <t>Shopping Center/Strip Mall</t>
  </si>
  <si>
    <t>Automobile Car Sales</t>
  </si>
  <si>
    <t>Tire Store</t>
  </si>
  <si>
    <t>Supermarket</t>
  </si>
  <si>
    <t>Auto Care Center</t>
  </si>
  <si>
    <t>Gasoline/Service Station</t>
  </si>
  <si>
    <t>Fueling Position</t>
  </si>
  <si>
    <t>Gasoline/Service Station with Convenience Store</t>
  </si>
  <si>
    <t>Self Service Car Wash</t>
  </si>
  <si>
    <t>Wash Stall</t>
  </si>
  <si>
    <t>Automated Car Wash</t>
  </si>
  <si>
    <t>Restaurant, Sit Down (High Turnover)</t>
  </si>
  <si>
    <r>
      <t>Category (</t>
    </r>
    <r>
      <rPr>
        <sz val="7"/>
        <rFont val="Arial"/>
        <family val="2"/>
      </rPr>
      <t>see Table 2 Transportation Impact Fee Table</t>
    </r>
    <r>
      <rPr>
        <sz val="10"/>
        <rFont val="Arial"/>
        <family val="2"/>
      </rPr>
      <t>)</t>
    </r>
  </si>
  <si>
    <t>Units</t>
  </si>
  <si>
    <t>Quantity of Units</t>
  </si>
  <si>
    <t>Cost per Unit</t>
  </si>
  <si>
    <t>Cost of impact fee per irrigable acre</t>
  </si>
  <si>
    <t>Central Utah Water Conservancy District Water Rights</t>
  </si>
  <si>
    <t>Existing City Well or Underground Water Rights Approved by City Attorney</t>
  </si>
  <si>
    <t>Drinking Water Impact Fee</t>
  </si>
  <si>
    <t>Total drinking water rights required</t>
  </si>
  <si>
    <t>Total cost of drinking water rights</t>
  </si>
  <si>
    <t>Project is Using CUWCD Water Rights?</t>
  </si>
  <si>
    <t>Other Drinking Water Rights (CUWCD)</t>
  </si>
  <si>
    <t>Capital cost of contract water per acre foot</t>
  </si>
  <si>
    <t xml:space="preserve">(221) GL # 56-3910-100 </t>
  </si>
  <si>
    <t>(222) GL # 57-3910-100</t>
  </si>
  <si>
    <t>(213) GL # 52-2300-000</t>
  </si>
  <si>
    <t>(218) GL # 53-3920-100 if North of Pony Express
(219) GL # 53-3930-100 if South of Pony Express</t>
  </si>
  <si>
    <t>(209) GL # 33-3910-100</t>
  </si>
  <si>
    <t>(207) GL # 31-3910-100</t>
  </si>
  <si>
    <t>(210) GL # 34-3910-100</t>
  </si>
  <si>
    <t>(332) GL # 58-3891-155</t>
  </si>
  <si>
    <t>Cost of impact fee per sqft of building</t>
  </si>
  <si>
    <t>Storm Drain Impact Fee Total</t>
  </si>
  <si>
    <t>Free-Standing Discount Superstore</t>
  </si>
  <si>
    <t>from 10th edition ITE manual</t>
  </si>
  <si>
    <t>DO NOT DELETE</t>
  </si>
  <si>
    <t>per City Code 7.07.04 (updates on Jan 1 of each year)</t>
  </si>
  <si>
    <t>Per GM and HAL discussion on 9/8/2020 the fire flow on commercial is not per ERC, it is just one time fee based on the fire flow gpm.</t>
  </si>
  <si>
    <t xml:space="preserve">Drinking Water Impact Fee (Fire Flow) </t>
  </si>
  <si>
    <t>(1 time fee per connection, not per ERC)</t>
  </si>
  <si>
    <t>Water Lateral Size</t>
  </si>
  <si>
    <t>ERC</t>
  </si>
  <si>
    <t>Impact Fee Component</t>
  </si>
  <si>
    <t>Drinking Water Fire Flow Requirement (GPM)</t>
  </si>
  <si>
    <t>Table 5 City Sewer Impact Fee Based on Water Service Size</t>
  </si>
  <si>
    <t>City Sewer Impact Fees per Connection Based on Water Service Size</t>
  </si>
  <si>
    <t>1 Worksheet Per Building is a key feature of this new spreadsheet.  It was decided to do 1 worksheet per building instead of have a "Quantity of connections" as Per JL &amp; DM discussion 12/9/2020</t>
  </si>
  <si>
    <t>Commercial Impact Fees &amp; Water Rights for 1 Building at Building Permit</t>
  </si>
  <si>
    <t>Drinking Water Impact Fee (1 bldg connection)</t>
  </si>
  <si>
    <t>Total Project Acreage (Acre)</t>
  </si>
  <si>
    <t>Drinking Water Rights (Well)</t>
  </si>
  <si>
    <t>Drinking Water Lateral Diameter (Inches)</t>
  </si>
  <si>
    <t>Irrigable Acreage (Acre)</t>
  </si>
  <si>
    <t>Enter total landscaped area in acres</t>
  </si>
  <si>
    <t>Total Building Area (Square Feet)</t>
  </si>
  <si>
    <t>Drinking Water Impact Fee Total
 (1 bldg connection)</t>
  </si>
  <si>
    <t>ERC's as per drinking water lateral size</t>
  </si>
  <si>
    <t>Fire Chief is to provide the Fire Flow GPM, contact the Fire Chief -DM</t>
  </si>
  <si>
    <t>total from plat site (divide it by number of buildings if there are mulitple buildings or put it all on the first building)</t>
  </si>
  <si>
    <t>Road Impact Fee Subtotal</t>
  </si>
  <si>
    <t>Transportation Impact Fee</t>
  </si>
  <si>
    <t xml:space="preserve">total from landscaping sheet (if there are mulitple buildings, all the landscaping can be put on the first building only or it can be divided up by number of buildings and the proportionate share put on each building). </t>
  </si>
  <si>
    <t>Note the GL #; if project is using CUWCD Water Rights, # is 155, if not, # is 150. Per MC, #150 exists because some have water right credits to use.</t>
  </si>
  <si>
    <t>"SAVE AS" this file to preserve the template. This draft sheet is for applicant planning and estimating purposes only.  The final fees are calculated 1 time at by the City at Building Permit after construction drawings are accepted by the Engineering Dept.  
This Fee sheet is for 1 Building Only.  If there are multiple buildings on the site plan, use/create a separate worksheet at the bottom for each building.</t>
  </si>
  <si>
    <t>reverted to base fee on July 26, 2021</t>
  </si>
  <si>
    <t>Industrial Park 130</t>
  </si>
  <si>
    <t>ITE Trips (see note in corner)</t>
  </si>
  <si>
    <t>Mini-Warehouse</t>
  </si>
  <si>
    <t>Trip utilization factor</t>
  </si>
  <si>
    <t>Multi-Family/Low-Rise 1-2 Levels</t>
  </si>
  <si>
    <t>Multi-Family/Mid-Rise 3-10 levels</t>
  </si>
  <si>
    <t>Multi-Family/High-Rise&gt;10 levels</t>
  </si>
  <si>
    <t>Occupied Dwelling Unit</t>
  </si>
  <si>
    <t>Assisted Living Center</t>
  </si>
  <si>
    <t>Government Office Building</t>
  </si>
  <si>
    <t>Hardware/Paint Store</t>
  </si>
  <si>
    <t>Convenience Market</t>
  </si>
  <si>
    <t>Furniture Store</t>
  </si>
  <si>
    <t>Walk-In Bank</t>
  </si>
  <si>
    <t>Drive-In Bank</t>
  </si>
  <si>
    <t>Hair Salon</t>
  </si>
  <si>
    <t>Fast Food without Drive-Through Window</t>
  </si>
  <si>
    <t>Pharmacy/Drugstore without Drive-through Window</t>
  </si>
  <si>
    <t>Pharmacy/Drugstore with Drive-through Window</t>
  </si>
  <si>
    <t>per 2020 IFA</t>
  </si>
  <si>
    <t>Students</t>
  </si>
  <si>
    <r>
      <t>1000 ft</t>
    </r>
    <r>
      <rPr>
        <vertAlign val="superscript"/>
        <sz val="10"/>
        <rFont val="Arial"/>
        <family val="2"/>
      </rPr>
      <t>2</t>
    </r>
    <r>
      <rPr>
        <sz val="10"/>
        <rFont val="Arial"/>
        <family val="2"/>
      </rPr>
      <t xml:space="preserve"> Gross Leasable Area</t>
    </r>
  </si>
  <si>
    <t>Home Improvement Superstore</t>
  </si>
  <si>
    <t>added 10/18/2021 from 10th edition ITE manual</t>
  </si>
  <si>
    <t>Do Note Delete. 2021 Transportation IFA TABLE 12 Summary of Maximum Impact. The maximum fee per PM peak hour trip is $2053.30</t>
  </si>
  <si>
    <t>Fast Food with Drive-Through Window</t>
  </si>
  <si>
    <t>Copy Sheet Building X if there are additional buildings</t>
  </si>
  <si>
    <t>Per Table 9 of  Oct 2022 IFA. Do Not Change/Delete or Move this Table below -DM</t>
  </si>
  <si>
    <r>
      <t xml:space="preserve">Table 6 of Oct 2022 IFA. City Drinking Water </t>
    </r>
    <r>
      <rPr>
        <b/>
        <sz val="10"/>
        <rFont val="Arial"/>
        <family val="2"/>
      </rPr>
      <t>Wholesale</t>
    </r>
    <r>
      <rPr>
        <sz val="10"/>
        <rFont val="Arial"/>
        <family val="2"/>
      </rPr>
      <t xml:space="preserve"> Impact Fee Based on Lateral Size</t>
    </r>
  </si>
  <si>
    <r>
      <t xml:space="preserve">Table 5 of Oct 2022 IFA. City Drinking Water </t>
    </r>
    <r>
      <rPr>
        <b/>
        <sz val="10"/>
        <rFont val="Arial"/>
        <family val="2"/>
      </rPr>
      <t>Well</t>
    </r>
    <r>
      <rPr>
        <sz val="10"/>
        <rFont val="Arial"/>
        <family val="2"/>
      </rPr>
      <t xml:space="preserve"> Impact Fee Based on Lateral Size</t>
    </r>
  </si>
  <si>
    <t>Drinking Water Units (ERC's) Per Connection Based on Water Service Size (Table 5 and 6 of Oct 2022 IFA)</t>
  </si>
  <si>
    <t>Drinking Water Units (ERC's) Per Connection Based on Water Service Size (Table 5 &amp; 6 of Oct 2022 IFA)</t>
  </si>
  <si>
    <t>Per 2023 amended IFA.  Also see 5/2/23 CC packet.</t>
  </si>
  <si>
    <t>Update number on July 1 of each year per the latest CUWCD page in the latest IFA.</t>
  </si>
  <si>
    <t>per 2023 SD IFA</t>
  </si>
  <si>
    <t>Select 1500,1750,2000,2250,2500,2750,3000,etc</t>
  </si>
  <si>
    <t>Select "TRUE" or "FALSE"</t>
  </si>
  <si>
    <t>Select 0.75, 1, 1.5, 2, 3, 4, 6, or 8</t>
  </si>
  <si>
    <t>Shell Building + Tenant Improvement</t>
  </si>
  <si>
    <t>Use Drop Down Menu to select appropriate application type.  This directly affects how transporation impact fees are assessed and when.  IE for a shell building with unknown tenants select (Shell Building Only).  Later when the tenant improvement application is done and tenants are known, the second spreadsheet (Tenant Improvement Only) will be created to capture the additional transporation impact fees.  Per 3/4/24 mtng with Bldg Dept and Eng Dept.</t>
  </si>
  <si>
    <t>See note in cell G2. Regarding shell building applications and tenant improvement applications..for a shell building with unknown tenant improvement area, use "Shopping Center/Strip Mall" or another use which best fits the application.  At Tenant Improvement Permit, Engineering will get a CW task Engineering Dept is to verify if the "use" has changed for example from from strip mall to fast food.  If so, then engineering creates and additional Impact Fee at Tenant Improvement sheet to gather the transportation impact fee for the updated use (ie restaurant with drive thru)  minus the original transportation impact fee (strip mall shell building).  Per Mtn with Building Dept &amp; Eng Dept 3/4/2024.</t>
  </si>
  <si>
    <t xml:space="preserve">INSERT NAME </t>
  </si>
  <si>
    <t>DATE:</t>
  </si>
  <si>
    <t>-</t>
  </si>
  <si>
    <t>Total floor area of all floor levels</t>
  </si>
  <si>
    <t>Per Table 5 &amp; 6 of Jan 2025 IFA.</t>
  </si>
  <si>
    <t>Per last paragraph on page 9 (below table 14) of Feb 2025 IFA</t>
  </si>
  <si>
    <t>Per latest IFFP table 16 of Feb 2025 IFA (add source and storage together 27,886+13,808=41,694) -KK</t>
  </si>
  <si>
    <t>(229) GL # 58-3891-160</t>
  </si>
  <si>
    <t xml:space="preserve">Per TSSD letter to mayors referencing amended fee increase approved at the December 29, 2025 Administrative Board Meeting of the TSSD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</si>
</sst>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
    <numFmt numFmtId="166" formatCode="#,##0.0_);\(#,##0.0\)"/>
  </numFmts>
  <fonts count="33" x14ac:knownFonts="1">
    <font>
      <sz val="11"/>
      <color theme="1"/>
      <name val="Calibri"/>
      <family val="2"/>
      <scheme val="minor"/>
    </font>
    <font>
      <sz val="10"/>
      <name val="Arial"/>
      <family val="2"/>
    </font>
    <font>
      <b/>
      <sz val="16"/>
      <name val="Arial"/>
      <family val="2"/>
    </font>
    <font>
      <b/>
      <sz val="10"/>
      <name val="Arial"/>
      <family val="2"/>
    </font>
    <font>
      <sz val="8"/>
      <name val="Arial Rounded MT Bold"/>
      <family val="2"/>
    </font>
    <font>
      <sz val="6"/>
      <name val="Arial Rounded MT Bold"/>
      <family val="2"/>
    </font>
    <font>
      <sz val="8"/>
      <name val="Arial"/>
      <family val="2"/>
    </font>
    <font>
      <sz val="7"/>
      <name val="Arial"/>
      <family val="2"/>
    </font>
    <font>
      <b/>
      <sz val="12"/>
      <name val="Arial"/>
      <family val="2"/>
    </font>
    <font>
      <sz val="11"/>
      <color theme="1"/>
      <name val="Calibri"/>
      <family val="2"/>
      <scheme val="minor"/>
    </font>
    <font>
      <sz val="11"/>
      <color rgb="FF3F3F76"/>
      <name val="Calibri"/>
      <family val="2"/>
      <scheme val="minor"/>
    </font>
    <font>
      <sz val="11"/>
      <name val="Calibri"/>
      <family val="2"/>
      <scheme val="minor"/>
    </font>
    <font>
      <b/>
      <sz val="11"/>
      <color theme="1"/>
      <name val="Calibri"/>
      <family val="2"/>
      <scheme val="minor"/>
    </font>
    <font>
      <b/>
      <sz val="9"/>
      <name val="Tahoma"/>
      <family val="2"/>
    </font>
    <font>
      <sz val="9"/>
      <name val="Tahoma"/>
      <family val="2"/>
    </font>
    <font>
      <sz val="10"/>
      <name val="Arial Rounded MT Bold"/>
      <family val="2"/>
    </font>
    <font>
      <sz val="11"/>
      <color rgb="FFFF0000"/>
      <name val="Calibri"/>
      <family val="2"/>
      <scheme val="minor"/>
    </font>
    <font>
      <b/>
      <sz val="8"/>
      <name val="Arial"/>
      <family val="2"/>
    </font>
    <font>
      <sz val="11"/>
      <name val="Arial"/>
      <family val="2"/>
    </font>
    <font>
      <b/>
      <sz val="11"/>
      <name val="Arial"/>
      <family val="2"/>
    </font>
    <font>
      <sz val="11"/>
      <color theme="1"/>
      <name val="Arial"/>
      <family val="2"/>
    </font>
    <font>
      <b/>
      <u/>
      <sz val="10"/>
      <name val="Arial"/>
      <family val="2"/>
    </font>
    <font>
      <b/>
      <u/>
      <sz val="11"/>
      <color theme="1"/>
      <name val="Calibri"/>
      <family val="2"/>
      <scheme val="minor"/>
    </font>
    <font>
      <vertAlign val="superscript"/>
      <sz val="10"/>
      <name val="Arial"/>
      <family val="2"/>
    </font>
    <font>
      <sz val="9"/>
      <name val="Arial"/>
      <family val="2"/>
    </font>
    <font>
      <sz val="6"/>
      <name val="Calibri"/>
      <family val="2"/>
      <scheme val="minor"/>
    </font>
    <font>
      <b/>
      <sz val="9"/>
      <name val="Arial"/>
      <family val="2"/>
    </font>
    <font>
      <b/>
      <sz val="9"/>
      <color indexed="81"/>
      <name val="Tahoma"/>
      <family val="2"/>
    </font>
    <font>
      <b/>
      <sz val="28"/>
      <color rgb="FF3F3F76"/>
      <name val="Arial"/>
      <family val="2"/>
    </font>
    <font>
      <b/>
      <sz val="28"/>
      <color theme="1"/>
      <name val="Arial"/>
      <family val="2"/>
    </font>
    <font>
      <b/>
      <sz val="16"/>
      <color rgb="FFFF0000"/>
      <name val="Arial"/>
      <family val="2"/>
    </font>
    <font>
      <sz val="9"/>
      <color indexed="81"/>
      <name val="Tahoma"/>
      <family val="2"/>
    </font>
    <font>
      <sz val="11"/>
      <color rgb="FF000000"/>
      <name val="Calibri"/>
      <family val="2"/>
      <scheme val="minor"/>
    </font>
  </fonts>
  <fills count="8">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s>
  <borders count="38">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rgb="FF7F7F7F"/>
      </left>
      <right style="thin">
        <color indexed="64"/>
      </right>
      <top style="thin">
        <color rgb="FF7F7F7F"/>
      </top>
      <bottom style="thin">
        <color rgb="FF7F7F7F"/>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0" fillId="2" borderId="7" applyNumberFormat="0" applyAlignment="0" applyProtection="0"/>
    <xf numFmtId="0" fontId="1" fillId="0" borderId="0"/>
  </cellStyleXfs>
  <cellXfs count="172">
    <xf numFmtId="0" fontId="0" fillId="0" borderId="0" xfId="0"/>
    <xf numFmtId="0" fontId="1" fillId="0" borderId="0" xfId="3"/>
    <xf numFmtId="0" fontId="3" fillId="0" borderId="0" xfId="3" applyFont="1"/>
    <xf numFmtId="0" fontId="4" fillId="0" borderId="0" xfId="3" applyFont="1"/>
    <xf numFmtId="0" fontId="13" fillId="0" borderId="0" xfId="0" applyFont="1" applyAlignment="1">
      <alignment horizontal="center"/>
    </xf>
    <xf numFmtId="0" fontId="14" fillId="0" borderId="0" xfId="0" applyFont="1"/>
    <xf numFmtId="0" fontId="14" fillId="0" borderId="0" xfId="0" applyFont="1" applyAlignment="1">
      <alignment horizontal="center"/>
    </xf>
    <xf numFmtId="44" fontId="19" fillId="0" borderId="1" xfId="1" applyFont="1" applyBorder="1"/>
    <xf numFmtId="44" fontId="19" fillId="0" borderId="0" xfId="1" applyFont="1" applyBorder="1"/>
    <xf numFmtId="44" fontId="19" fillId="3" borderId="1" xfId="1" applyFont="1" applyFill="1" applyBorder="1"/>
    <xf numFmtId="0" fontId="19" fillId="4" borderId="3" xfId="3" applyFont="1" applyFill="1" applyBorder="1" applyAlignment="1">
      <alignment horizontal="center"/>
    </xf>
    <xf numFmtId="44" fontId="11" fillId="0" borderId="0" xfId="2" applyNumberFormat="1" applyFont="1" applyFill="1" applyBorder="1" applyAlignment="1">
      <alignment horizontal="right"/>
    </xf>
    <xf numFmtId="0" fontId="1" fillId="0" borderId="8" xfId="3" applyBorder="1" applyAlignment="1">
      <alignment horizontal="center"/>
    </xf>
    <xf numFmtId="0" fontId="1" fillId="0" borderId="16" xfId="3" applyBorder="1"/>
    <xf numFmtId="0" fontId="1" fillId="0" borderId="19" xfId="3" applyBorder="1"/>
    <xf numFmtId="3" fontId="25" fillId="0" borderId="0" xfId="2" applyNumberFormat="1" applyFont="1" applyFill="1" applyBorder="1" applyAlignment="1">
      <alignment horizontal="center" wrapText="1"/>
    </xf>
    <xf numFmtId="0" fontId="3" fillId="0" borderId="0" xfId="3" applyFont="1" applyAlignment="1">
      <alignment horizontal="center"/>
    </xf>
    <xf numFmtId="0" fontId="18" fillId="0" borderId="0" xfId="3" applyFont="1"/>
    <xf numFmtId="4" fontId="11" fillId="4" borderId="7" xfId="2" applyNumberFormat="1" applyFont="1" applyFill="1" applyAlignment="1">
      <alignment horizontal="center"/>
    </xf>
    <xf numFmtId="0" fontId="15" fillId="0" borderId="0" xfId="3" applyFont="1"/>
    <xf numFmtId="3" fontId="11" fillId="4" borderId="7" xfId="2" applyNumberFormat="1" applyFont="1" applyFill="1" applyAlignment="1">
      <alignment horizontal="center"/>
    </xf>
    <xf numFmtId="0" fontId="1" fillId="0" borderId="0" xfId="3" applyAlignment="1">
      <alignment horizontal="center"/>
    </xf>
    <xf numFmtId="0" fontId="4" fillId="0" borderId="0" xfId="3" applyFont="1" applyAlignment="1">
      <alignment horizontal="center"/>
    </xf>
    <xf numFmtId="164" fontId="18" fillId="0" borderId="0" xfId="3" applyNumberFormat="1" applyFont="1"/>
    <xf numFmtId="44" fontId="19" fillId="0" borderId="2" xfId="1" applyFont="1" applyBorder="1"/>
    <xf numFmtId="0" fontId="1" fillId="0" borderId="22" xfId="3" applyBorder="1"/>
    <xf numFmtId="0" fontId="3" fillId="0" borderId="2" xfId="3" applyFont="1" applyBorder="1"/>
    <xf numFmtId="0" fontId="1" fillId="0" borderId="2" xfId="3" applyBorder="1"/>
    <xf numFmtId="0" fontId="4" fillId="0" borderId="2" xfId="3" applyFont="1" applyBorder="1"/>
    <xf numFmtId="0" fontId="1" fillId="0" borderId="23" xfId="3" applyBorder="1"/>
    <xf numFmtId="0" fontId="1" fillId="0" borderId="24" xfId="3" applyBorder="1"/>
    <xf numFmtId="0" fontId="1" fillId="0" borderId="25" xfId="3" applyBorder="1"/>
    <xf numFmtId="0" fontId="1" fillId="0" borderId="26" xfId="3" applyBorder="1"/>
    <xf numFmtId="0" fontId="3" fillId="0" borderId="6" xfId="3" applyFont="1" applyBorder="1"/>
    <xf numFmtId="0" fontId="1" fillId="0" borderId="6" xfId="3" applyBorder="1"/>
    <xf numFmtId="0" fontId="0" fillId="0" borderId="6" xfId="0" applyBorder="1"/>
    <xf numFmtId="0" fontId="4" fillId="0" borderId="6" xfId="3" applyFont="1" applyBorder="1"/>
    <xf numFmtId="0" fontId="1" fillId="0" borderId="27" xfId="3" applyBorder="1"/>
    <xf numFmtId="44" fontId="1" fillId="0" borderId="0" xfId="3" applyNumberFormat="1"/>
    <xf numFmtId="44" fontId="9" fillId="0" borderId="0" xfId="1" applyFont="1" applyBorder="1"/>
    <xf numFmtId="0" fontId="5" fillId="0" borderId="0" xfId="3" applyFont="1"/>
    <xf numFmtId="0" fontId="1" fillId="0" borderId="0" xfId="3" applyAlignment="1">
      <alignment horizontal="left"/>
    </xf>
    <xf numFmtId="44" fontId="9" fillId="0" borderId="0" xfId="1" applyFont="1" applyFill="1" applyBorder="1" applyAlignment="1">
      <alignment horizontal="right"/>
    </xf>
    <xf numFmtId="0" fontId="16" fillId="0" borderId="0" xfId="0" applyFont="1" applyAlignment="1">
      <alignment vertical="center" wrapText="1"/>
    </xf>
    <xf numFmtId="0" fontId="18" fillId="0" borderId="6" xfId="3" applyFont="1" applyBorder="1"/>
    <xf numFmtId="0" fontId="18" fillId="0" borderId="2" xfId="3" applyFont="1" applyBorder="1"/>
    <xf numFmtId="44" fontId="18" fillId="0" borderId="0" xfId="3" applyNumberFormat="1" applyFont="1"/>
    <xf numFmtId="44" fontId="20" fillId="0" borderId="0" xfId="1" applyFont="1" applyBorder="1"/>
    <xf numFmtId="0" fontId="6" fillId="0" borderId="6" xfId="3" applyFont="1" applyBorder="1" applyAlignment="1">
      <alignment wrapText="1"/>
    </xf>
    <xf numFmtId="164" fontId="18" fillId="0" borderId="6" xfId="3" applyNumberFormat="1" applyFont="1" applyBorder="1"/>
    <xf numFmtId="164" fontId="18" fillId="0" borderId="2" xfId="3" applyNumberFormat="1" applyFont="1" applyBorder="1"/>
    <xf numFmtId="0" fontId="11" fillId="2" borderId="7" xfId="2" applyFont="1" applyAlignment="1">
      <alignment horizontal="center"/>
    </xf>
    <xf numFmtId="166" fontId="18" fillId="0" borderId="0" xfId="3" applyNumberFormat="1" applyFont="1"/>
    <xf numFmtId="44" fontId="19" fillId="0" borderId="6" xfId="1" applyFont="1" applyBorder="1"/>
    <xf numFmtId="44" fontId="20" fillId="0" borderId="25" xfId="1" applyFont="1" applyBorder="1"/>
    <xf numFmtId="0" fontId="5" fillId="0" borderId="6" xfId="3" applyFont="1" applyBorder="1" applyAlignment="1">
      <alignment horizontal="center"/>
    </xf>
    <xf numFmtId="0" fontId="4" fillId="0" borderId="2" xfId="3" applyFont="1" applyBorder="1" applyAlignment="1">
      <alignment horizontal="center"/>
    </xf>
    <xf numFmtId="44" fontId="18" fillId="0" borderId="23" xfId="1" applyFont="1" applyBorder="1"/>
    <xf numFmtId="0" fontId="8" fillId="0" borderId="0" xfId="3" applyFont="1" applyAlignment="1">
      <alignment horizontal="right"/>
    </xf>
    <xf numFmtId="165" fontId="19" fillId="0" borderId="6" xfId="1" applyNumberFormat="1" applyFont="1" applyBorder="1"/>
    <xf numFmtId="0" fontId="15" fillId="0" borderId="6" xfId="3" applyFont="1" applyBorder="1"/>
    <xf numFmtId="0" fontId="6" fillId="0" borderId="2" xfId="3" applyFont="1" applyBorder="1"/>
    <xf numFmtId="0" fontId="3" fillId="0" borderId="6" xfId="3" applyFont="1" applyBorder="1" applyAlignment="1">
      <alignment horizontal="left" vertical="top" wrapText="1"/>
    </xf>
    <xf numFmtId="0" fontId="4" fillId="3" borderId="0" xfId="3" applyFont="1" applyFill="1"/>
    <xf numFmtId="2" fontId="1" fillId="0" borderId="0" xfId="3" applyNumberFormat="1"/>
    <xf numFmtId="2" fontId="1" fillId="0" borderId="3" xfId="3" applyNumberFormat="1" applyBorder="1"/>
    <xf numFmtId="0" fontId="1" fillId="0" borderId="15" xfId="3" applyBorder="1"/>
    <xf numFmtId="0" fontId="1" fillId="0" borderId="17" xfId="3" applyBorder="1"/>
    <xf numFmtId="2" fontId="1" fillId="0" borderId="18" xfId="3" applyNumberFormat="1" applyBorder="1"/>
    <xf numFmtId="0" fontId="1" fillId="0" borderId="20" xfId="3" applyBorder="1"/>
    <xf numFmtId="0" fontId="6" fillId="0" borderId="8" xfId="3" applyFont="1" applyBorder="1" applyAlignment="1">
      <alignment horizontal="center"/>
    </xf>
    <xf numFmtId="2" fontId="1" fillId="0" borderId="4" xfId="3" applyNumberFormat="1" applyBorder="1"/>
    <xf numFmtId="0" fontId="1" fillId="0" borderId="21" xfId="3" applyBorder="1"/>
    <xf numFmtId="0" fontId="6" fillId="0" borderId="0" xfId="3" applyFont="1" applyAlignment="1">
      <alignment horizontal="center"/>
    </xf>
    <xf numFmtId="0" fontId="3" fillId="0" borderId="0" xfId="3" applyFont="1" applyAlignment="1">
      <alignment wrapText="1"/>
    </xf>
    <xf numFmtId="0" fontId="26" fillId="0" borderId="0" xfId="3" applyFont="1" applyAlignment="1">
      <alignment wrapText="1"/>
    </xf>
    <xf numFmtId="0" fontId="3" fillId="0" borderId="2" xfId="3" applyFont="1" applyBorder="1" applyAlignment="1">
      <alignment wrapText="1"/>
    </xf>
    <xf numFmtId="4" fontId="19" fillId="0" borderId="1" xfId="1" applyNumberFormat="1" applyFont="1" applyBorder="1"/>
    <xf numFmtId="2" fontId="18" fillId="0" borderId="0" xfId="3" applyNumberFormat="1" applyFont="1"/>
    <xf numFmtId="0" fontId="24" fillId="0" borderId="0" xfId="3" applyFont="1" applyAlignment="1">
      <alignment wrapText="1"/>
    </xf>
    <xf numFmtId="4" fontId="18" fillId="0" borderId="2" xfId="1" applyNumberFormat="1" applyFont="1" applyFill="1" applyBorder="1"/>
    <xf numFmtId="0" fontId="15" fillId="0" borderId="2" xfId="3" applyFont="1" applyBorder="1"/>
    <xf numFmtId="44" fontId="9" fillId="0" borderId="0" xfId="1" applyFont="1" applyFill="1" applyBorder="1"/>
    <xf numFmtId="4" fontId="18" fillId="0" borderId="0" xfId="1" applyNumberFormat="1" applyFont="1" applyFill="1" applyBorder="1"/>
    <xf numFmtId="1" fontId="11" fillId="4" borderId="7" xfId="2" applyNumberFormat="1" applyFont="1" applyFill="1" applyAlignment="1">
      <alignment horizontal="center"/>
    </xf>
    <xf numFmtId="2" fontId="11" fillId="4" borderId="7" xfId="2" applyNumberFormat="1" applyFont="1" applyFill="1" applyAlignment="1">
      <alignment horizontal="center"/>
    </xf>
    <xf numFmtId="0" fontId="12" fillId="0" borderId="0" xfId="0" applyFont="1" applyAlignment="1">
      <alignment horizontal="center"/>
    </xf>
    <xf numFmtId="0" fontId="14" fillId="0" borderId="0" xfId="0" applyFont="1" applyAlignment="1">
      <alignment wrapText="1"/>
    </xf>
    <xf numFmtId="0" fontId="3" fillId="5" borderId="28" xfId="3" applyFont="1" applyFill="1" applyBorder="1"/>
    <xf numFmtId="44" fontId="3" fillId="5" borderId="29" xfId="3" applyNumberFormat="1" applyFont="1" applyFill="1" applyBorder="1"/>
    <xf numFmtId="0" fontId="13" fillId="5" borderId="15" xfId="0" applyFont="1" applyFill="1" applyBorder="1" applyAlignment="1">
      <alignment horizontal="center" wrapText="1"/>
    </xf>
    <xf numFmtId="0" fontId="1" fillId="5" borderId="3" xfId="3" applyFill="1" applyBorder="1"/>
    <xf numFmtId="0" fontId="1" fillId="5" borderId="4" xfId="3" applyFill="1" applyBorder="1"/>
    <xf numFmtId="0" fontId="14" fillId="5" borderId="15" xfId="0" applyFont="1" applyFill="1" applyBorder="1" applyAlignment="1">
      <alignment horizontal="center"/>
    </xf>
    <xf numFmtId="0" fontId="1" fillId="5" borderId="3" xfId="3" applyFill="1" applyBorder="1" applyAlignment="1">
      <alignment vertical="center"/>
    </xf>
    <xf numFmtId="0" fontId="1" fillId="5" borderId="10" xfId="3" applyFill="1" applyBorder="1"/>
    <xf numFmtId="0" fontId="1" fillId="5" borderId="11" xfId="3" applyFill="1" applyBorder="1"/>
    <xf numFmtId="44" fontId="1" fillId="5" borderId="16" xfId="3" applyNumberFormat="1" applyFill="1" applyBorder="1"/>
    <xf numFmtId="0" fontId="1" fillId="5" borderId="15" xfId="3" applyFill="1" applyBorder="1"/>
    <xf numFmtId="0" fontId="1" fillId="5" borderId="17" xfId="3" applyFill="1" applyBorder="1"/>
    <xf numFmtId="0" fontId="1" fillId="5" borderId="18" xfId="3" applyFill="1" applyBorder="1"/>
    <xf numFmtId="44" fontId="1" fillId="5" borderId="19" xfId="3" applyNumberFormat="1" applyFill="1" applyBorder="1"/>
    <xf numFmtId="0" fontId="13" fillId="5" borderId="20" xfId="0" applyFont="1" applyFill="1" applyBorder="1" applyAlignment="1">
      <alignment horizontal="center" wrapText="1"/>
    </xf>
    <xf numFmtId="44" fontId="1" fillId="5" borderId="21" xfId="3" applyNumberFormat="1" applyFill="1" applyBorder="1"/>
    <xf numFmtId="0" fontId="1" fillId="6" borderId="8" xfId="3" applyFill="1" applyBorder="1" applyAlignment="1">
      <alignment horizontal="center"/>
    </xf>
    <xf numFmtId="0" fontId="1" fillId="6" borderId="20" xfId="3" applyFill="1" applyBorder="1" applyAlignment="1">
      <alignment horizontal="center"/>
    </xf>
    <xf numFmtId="0" fontId="1" fillId="6" borderId="15" xfId="3" applyFill="1" applyBorder="1" applyAlignment="1">
      <alignment horizontal="center"/>
    </xf>
    <xf numFmtId="0" fontId="1" fillId="6" borderId="17" xfId="3" applyFill="1" applyBorder="1" applyAlignment="1">
      <alignment horizontal="center"/>
    </xf>
    <xf numFmtId="14" fontId="1" fillId="0" borderId="0" xfId="3" applyNumberFormat="1" applyAlignment="1">
      <alignment wrapText="1"/>
    </xf>
    <xf numFmtId="0" fontId="1" fillId="7" borderId="33" xfId="3" applyFill="1" applyBorder="1"/>
    <xf numFmtId="0" fontId="1" fillId="7" borderId="34" xfId="3" applyFill="1" applyBorder="1"/>
    <xf numFmtId="0" fontId="1" fillId="7" borderId="8" xfId="3" applyFill="1" applyBorder="1" applyAlignment="1">
      <alignment horizontal="center" vertical="center" wrapText="1"/>
    </xf>
    <xf numFmtId="0" fontId="1" fillId="6" borderId="21" xfId="3" applyFill="1" applyBorder="1" applyAlignment="1">
      <alignment horizontal="center"/>
    </xf>
    <xf numFmtId="0" fontId="32" fillId="0" borderId="0" xfId="0" applyFont="1"/>
    <xf numFmtId="44" fontId="0" fillId="0" borderId="0" xfId="0" applyNumberFormat="1"/>
    <xf numFmtId="0" fontId="1" fillId="5" borderId="3" xfId="3" quotePrefix="1" applyFill="1" applyBorder="1"/>
    <xf numFmtId="2" fontId="1" fillId="5" borderId="3" xfId="3" applyNumberFormat="1" applyFill="1" applyBorder="1"/>
    <xf numFmtId="44" fontId="3" fillId="0" borderId="5" xfId="1" applyFont="1" applyFill="1" applyBorder="1"/>
    <xf numFmtId="44" fontId="3" fillId="0" borderId="6" xfId="1" applyFont="1" applyFill="1" applyBorder="1"/>
    <xf numFmtId="2" fontId="18" fillId="0" borderId="0" xfId="3" applyNumberFormat="1" applyFont="1" applyAlignment="1">
      <alignment horizontal="right"/>
    </xf>
    <xf numFmtId="0" fontId="1" fillId="0" borderId="24" xfId="3" applyBorder="1" applyAlignment="1">
      <alignment wrapText="1"/>
    </xf>
    <xf numFmtId="0" fontId="1" fillId="0" borderId="0" xfId="3" applyAlignment="1">
      <alignment wrapText="1"/>
    </xf>
    <xf numFmtId="0" fontId="11" fillId="4" borderId="7" xfId="2" applyFont="1" applyFill="1" applyAlignment="1">
      <alignment horizontal="center"/>
    </xf>
    <xf numFmtId="0" fontId="11" fillId="4" borderId="36" xfId="2" applyFont="1" applyFill="1" applyBorder="1" applyAlignment="1">
      <alignment horizontal="center"/>
    </xf>
    <xf numFmtId="39" fontId="18" fillId="0" borderId="0" xfId="3" applyNumberFormat="1" applyFont="1" applyAlignment="1">
      <alignment horizontal="right"/>
    </xf>
    <xf numFmtId="39" fontId="18" fillId="0" borderId="25" xfId="3" applyNumberFormat="1" applyFont="1" applyBorder="1" applyAlignment="1">
      <alignment horizontal="right"/>
    </xf>
    <xf numFmtId="44" fontId="11" fillId="0" borderId="25" xfId="2" applyNumberFormat="1" applyFont="1" applyFill="1" applyBorder="1" applyAlignment="1">
      <alignment horizontal="right"/>
    </xf>
    <xf numFmtId="4" fontId="11" fillId="4" borderId="7" xfId="2" applyNumberFormat="1" applyFont="1" applyFill="1" applyAlignment="1">
      <alignment horizontal="right"/>
    </xf>
    <xf numFmtId="4" fontId="11" fillId="4" borderId="36" xfId="2" applyNumberFormat="1" applyFont="1" applyFill="1" applyBorder="1" applyAlignment="1">
      <alignment horizontal="right"/>
    </xf>
    <xf numFmtId="0" fontId="17" fillId="0" borderId="0" xfId="3" applyFont="1" applyAlignment="1">
      <alignment horizontal="right"/>
    </xf>
    <xf numFmtId="44" fontId="9" fillId="0" borderId="25" xfId="1" applyFont="1" applyBorder="1"/>
    <xf numFmtId="42" fontId="18" fillId="0" borderId="0" xfId="3" applyNumberFormat="1" applyFont="1"/>
    <xf numFmtId="42" fontId="18" fillId="0" borderId="25" xfId="3" applyNumberFormat="1" applyFont="1" applyBorder="1"/>
    <xf numFmtId="0" fontId="1" fillId="0" borderId="6" xfId="3" applyBorder="1" applyAlignment="1">
      <alignment horizontal="center"/>
    </xf>
    <xf numFmtId="44" fontId="19" fillId="0" borderId="37" xfId="1" applyFont="1" applyBorder="1"/>
    <xf numFmtId="0" fontId="4" fillId="0" borderId="0" xfId="3" applyFont="1" applyAlignment="1">
      <alignment vertical="center"/>
    </xf>
    <xf numFmtId="0" fontId="4" fillId="0" borderId="25" xfId="3" applyFont="1" applyBorder="1" applyAlignment="1">
      <alignment vertical="center"/>
    </xf>
    <xf numFmtId="44" fontId="19" fillId="0" borderId="1" xfId="1" applyFont="1" applyFill="1" applyBorder="1"/>
    <xf numFmtId="44" fontId="1" fillId="6" borderId="16" xfId="3" applyNumberFormat="1" applyFill="1" applyBorder="1" applyAlignment="1">
      <alignment horizontal="center"/>
    </xf>
    <xf numFmtId="44" fontId="1" fillId="6" borderId="19" xfId="3" applyNumberFormat="1" applyFill="1" applyBorder="1" applyAlignment="1">
      <alignment horizontal="center"/>
    </xf>
    <xf numFmtId="0" fontId="1" fillId="4" borderId="0" xfId="3" applyFill="1" applyAlignment="1">
      <alignment wrapText="1"/>
    </xf>
    <xf numFmtId="0" fontId="1" fillId="6" borderId="28" xfId="3" applyFill="1" applyBorder="1" applyAlignment="1">
      <alignment horizontal="center" vertical="center" wrapText="1"/>
    </xf>
    <xf numFmtId="0" fontId="1" fillId="6" borderId="29" xfId="3" applyFill="1" applyBorder="1" applyAlignment="1">
      <alignment horizontal="center" vertical="center" wrapText="1"/>
    </xf>
    <xf numFmtId="0" fontId="1" fillId="0" borderId="28" xfId="3" applyBorder="1" applyAlignment="1">
      <alignment horizontal="center" vertical="center" wrapText="1"/>
    </xf>
    <xf numFmtId="0" fontId="1" fillId="0" borderId="35" xfId="3" applyBorder="1" applyAlignment="1">
      <alignment horizontal="center" vertical="center" wrapText="1"/>
    </xf>
    <xf numFmtId="0" fontId="1" fillId="0" borderId="29" xfId="3" applyBorder="1" applyAlignment="1">
      <alignment horizontal="center" vertical="center" wrapText="1"/>
    </xf>
    <xf numFmtId="0" fontId="1" fillId="0" borderId="10" xfId="3" applyBorder="1" applyAlignment="1">
      <alignment horizontal="center" wrapText="1"/>
    </xf>
    <xf numFmtId="0" fontId="1" fillId="0" borderId="11" xfId="3" applyBorder="1" applyAlignment="1">
      <alignment horizontal="center" wrapText="1"/>
    </xf>
    <xf numFmtId="0" fontId="1" fillId="0" borderId="12" xfId="3" applyBorder="1" applyAlignment="1">
      <alignment horizontal="center" wrapText="1"/>
    </xf>
    <xf numFmtId="0" fontId="1" fillId="0" borderId="13" xfId="3" applyBorder="1" applyAlignment="1">
      <alignment horizontal="center" wrapText="1"/>
    </xf>
    <xf numFmtId="0" fontId="1" fillId="0" borderId="5" xfId="3" applyBorder="1" applyAlignment="1">
      <alignment horizontal="center" wrapText="1"/>
    </xf>
    <xf numFmtId="0" fontId="1" fillId="0" borderId="14" xfId="3" applyBorder="1" applyAlignment="1">
      <alignment horizontal="center" wrapText="1"/>
    </xf>
    <xf numFmtId="0" fontId="1" fillId="5" borderId="9" xfId="3" applyFill="1" applyBorder="1" applyAlignment="1">
      <alignment horizontal="center" vertical="center" wrapText="1"/>
    </xf>
    <xf numFmtId="0" fontId="1" fillId="5" borderId="30" xfId="3" applyFill="1" applyBorder="1" applyAlignment="1">
      <alignment horizontal="center" vertical="center" wrapText="1"/>
    </xf>
    <xf numFmtId="0" fontId="1" fillId="5" borderId="31" xfId="3" applyFill="1" applyBorder="1" applyAlignment="1">
      <alignment horizontal="left" wrapText="1"/>
    </xf>
    <xf numFmtId="0" fontId="1" fillId="5" borderId="0" xfId="3" applyFill="1" applyAlignment="1">
      <alignment horizontal="left" wrapText="1"/>
    </xf>
    <xf numFmtId="0" fontId="1" fillId="5" borderId="32" xfId="3" applyFill="1" applyBorder="1" applyAlignment="1">
      <alignment horizontal="left" wrapText="1"/>
    </xf>
    <xf numFmtId="0" fontId="30" fillId="0" borderId="6" xfId="3" applyFont="1" applyBorder="1" applyAlignment="1">
      <alignment horizontal="left" vertical="center" wrapText="1"/>
    </xf>
    <xf numFmtId="0" fontId="1" fillId="0" borderId="0" xfId="3" applyAlignment="1">
      <alignment horizontal="center" wrapText="1"/>
    </xf>
    <xf numFmtId="0" fontId="28" fillId="4" borderId="0" xfId="2" applyFont="1" applyFill="1" applyBorder="1" applyAlignment="1">
      <alignment horizontal="center" vertical="center" wrapText="1"/>
    </xf>
    <xf numFmtId="0" fontId="29" fillId="4" borderId="0" xfId="0" applyFont="1" applyFill="1" applyAlignment="1">
      <alignment horizontal="center" vertical="center" wrapText="1"/>
    </xf>
    <xf numFmtId="0" fontId="2" fillId="0" borderId="0" xfId="3" applyFont="1" applyAlignment="1">
      <alignment horizontal="center"/>
    </xf>
    <xf numFmtId="0" fontId="0" fillId="0" borderId="0" xfId="0" applyAlignment="1">
      <alignment horizontal="center"/>
    </xf>
    <xf numFmtId="0" fontId="21" fillId="0" borderId="25" xfId="3" applyFont="1" applyBorder="1" applyAlignment="1">
      <alignment horizontal="center" wrapText="1"/>
    </xf>
    <xf numFmtId="0" fontId="22" fillId="0" borderId="25" xfId="0" applyFont="1" applyBorder="1" applyAlignment="1">
      <alignment horizontal="center" wrapText="1"/>
    </xf>
    <xf numFmtId="0" fontId="3" fillId="0" borderId="0" xfId="3" applyFont="1" applyAlignment="1">
      <alignment horizontal="left" wrapText="1"/>
    </xf>
    <xf numFmtId="0" fontId="7" fillId="0" borderId="0" xfId="3" applyFont="1" applyAlignment="1">
      <alignment horizontal="center" wrapText="1"/>
    </xf>
    <xf numFmtId="0" fontId="1" fillId="0" borderId="23" xfId="3" applyBorder="1" applyAlignment="1">
      <alignment horizontal="left" vertical="center" wrapText="1"/>
    </xf>
    <xf numFmtId="0" fontId="1" fillId="0" borderId="25" xfId="3" applyBorder="1" applyAlignment="1">
      <alignment horizontal="left" vertical="center" wrapText="1"/>
    </xf>
    <xf numFmtId="0" fontId="19" fillId="3" borderId="0" xfId="3" applyFont="1" applyFill="1" applyAlignment="1">
      <alignment horizontal="center" vertical="top" wrapText="1"/>
    </xf>
    <xf numFmtId="0" fontId="5" fillId="0" borderId="0" xfId="3" applyFont="1" applyAlignment="1">
      <alignment horizontal="center" vertical="center" wrapText="1"/>
    </xf>
    <xf numFmtId="0" fontId="28" fillId="5" borderId="0" xfId="2" applyFont="1" applyFill="1" applyBorder="1" applyAlignment="1">
      <alignment horizontal="center" vertical="center"/>
    </xf>
  </cellXfs>
  <cellStyles count="4">
    <cellStyle name="Currency 2" xfId="1" xr:uid="{00000000-0005-0000-0000-000000000000}"/>
    <cellStyle name="Input" xfId="2" builtinId="20"/>
    <cellStyle name="Normal" xfId="0" builtinId="0"/>
    <cellStyle name="Normal 2" xfId="3" xr:uid="{00000000-0005-0000-0000-000003000000}"/>
  </cellStyles>
  <dxfs count="2">
    <dxf>
      <fill>
        <patternFill>
          <bgColor rgb="FFFFFF0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67465</xdr:colOff>
      <xdr:row>13</xdr:row>
      <xdr:rowOff>61921</xdr:rowOff>
    </xdr:from>
    <xdr:ext cx="7317704" cy="6040884"/>
    <xdr:sp macro="" textlink="">
      <xdr:nvSpPr>
        <xdr:cNvPr id="4" name="TextBox 3">
          <a:extLst>
            <a:ext uri="{FF2B5EF4-FFF2-40B4-BE49-F238E27FC236}">
              <a16:creationId xmlns:a16="http://schemas.microsoft.com/office/drawing/2014/main" id="{00000000-0008-0000-0000-000004000000}"/>
            </a:ext>
          </a:extLst>
        </xdr:cNvPr>
        <xdr:cNvSpPr txBox="1"/>
      </xdr:nvSpPr>
      <xdr:spPr>
        <a:xfrm rot="20802671">
          <a:off x="943765" y="5834071"/>
          <a:ext cx="7317704" cy="6040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0" b="1">
              <a:ln>
                <a:noFill/>
              </a:ln>
              <a:solidFill>
                <a:schemeClr val="tx1">
                  <a:alpha val="20000"/>
                </a:schemeClr>
              </a:solidFill>
            </a:rPr>
            <a:t>DRAFT</a:t>
          </a:r>
        </a:p>
        <a:p>
          <a:r>
            <a:rPr lang="en-US" sz="4500" b="1">
              <a:ln>
                <a:noFill/>
              </a:ln>
              <a:solidFill>
                <a:schemeClr val="tx1">
                  <a:alpha val="20000"/>
                </a:schemeClr>
              </a:solidFill>
            </a:rPr>
            <a:t>This is a preliminary draft.</a:t>
          </a:r>
          <a:r>
            <a:rPr lang="en-US" sz="4500" b="1" baseline="0">
              <a:ln>
                <a:noFill/>
              </a:ln>
              <a:solidFill>
                <a:schemeClr val="tx1">
                  <a:alpha val="20000"/>
                </a:schemeClr>
              </a:solidFill>
            </a:rPr>
            <a:t>  Fees are subject to change.  Final fees will be calculated at Buidling Permit.</a:t>
          </a:r>
          <a:endParaRPr lang="en-US" sz="4500" b="1">
            <a:ln>
              <a:noFill/>
            </a:ln>
            <a:solidFill>
              <a:schemeClr val="tx1">
                <a:alpha val="20000"/>
              </a:schemeClr>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68"/>
  <sheetViews>
    <sheetView topLeftCell="C1" zoomScale="85" zoomScaleNormal="85" workbookViewId="0">
      <selection activeCell="E21" sqref="E21"/>
    </sheetView>
  </sheetViews>
  <sheetFormatPr defaultRowHeight="15" x14ac:dyDescent="0.25"/>
  <cols>
    <col min="2" max="2" width="64.42578125" bestFit="1" customWidth="1"/>
    <col min="3" max="3" width="9.140625" customWidth="1"/>
    <col min="4" max="4" width="14.28515625" customWidth="1"/>
    <col min="5" max="5" width="35.140625" bestFit="1" customWidth="1"/>
    <col min="7" max="7" width="13.85546875" bestFit="1" customWidth="1"/>
    <col min="8" max="8" width="5.5703125" bestFit="1" customWidth="1"/>
    <col min="9" max="9" width="25.5703125" bestFit="1" customWidth="1"/>
    <col min="12" max="12" width="5.28515625" bestFit="1" customWidth="1"/>
    <col min="13" max="13" width="44" bestFit="1" customWidth="1"/>
    <col min="14" max="14" width="25.85546875" bestFit="1" customWidth="1"/>
    <col min="15" max="18" width="16.42578125" customWidth="1"/>
    <col min="20" max="20" width="11.5703125" bestFit="1" customWidth="1"/>
  </cols>
  <sheetData>
    <row r="1" spans="2:20" ht="15.75" thickBot="1" x14ac:dyDescent="0.3"/>
    <row r="2" spans="2:20" ht="30" customHeight="1" thickBot="1" x14ac:dyDescent="0.3">
      <c r="B2" s="111" t="s">
        <v>34</v>
      </c>
      <c r="D2" s="141" t="s">
        <v>158</v>
      </c>
      <c r="E2" s="142"/>
      <c r="G2" s="143" t="s">
        <v>160</v>
      </c>
      <c r="H2" s="144"/>
      <c r="I2" s="145"/>
      <c r="K2" s="95"/>
      <c r="L2" s="96"/>
      <c r="M2" s="96"/>
      <c r="N2" s="96"/>
      <c r="O2" s="96"/>
      <c r="P2" s="88"/>
      <c r="Q2" s="88" t="s">
        <v>101</v>
      </c>
      <c r="R2" s="89">
        <v>2053.3000000000002</v>
      </c>
    </row>
    <row r="3" spans="2:20" ht="15" customHeight="1" thickBot="1" x14ac:dyDescent="0.3">
      <c r="B3" s="110" t="s">
        <v>81</v>
      </c>
      <c r="D3" s="104" t="s">
        <v>31</v>
      </c>
      <c r="E3" s="104" t="s">
        <v>32</v>
      </c>
      <c r="G3" s="70" t="s">
        <v>106</v>
      </c>
      <c r="H3" s="12" t="s">
        <v>107</v>
      </c>
      <c r="I3" s="12" t="s">
        <v>108</v>
      </c>
      <c r="K3" s="154" t="s">
        <v>155</v>
      </c>
      <c r="L3" s="155"/>
      <c r="M3" s="155"/>
      <c r="N3" s="155"/>
      <c r="O3" s="155"/>
      <c r="P3" s="155"/>
      <c r="Q3" s="155"/>
      <c r="R3" s="156"/>
    </row>
    <row r="4" spans="2:20" ht="15" customHeight="1" thickBot="1" x14ac:dyDescent="0.3">
      <c r="B4" s="109" t="s">
        <v>82</v>
      </c>
      <c r="D4" s="105" t="s">
        <v>33</v>
      </c>
      <c r="E4" s="112" t="s">
        <v>105</v>
      </c>
      <c r="G4" s="69">
        <v>0.75</v>
      </c>
      <c r="H4" s="71">
        <v>1</v>
      </c>
      <c r="I4" s="72">
        <v>2465</v>
      </c>
      <c r="K4" s="152"/>
      <c r="L4" s="152" t="s">
        <v>36</v>
      </c>
      <c r="M4" s="152" t="s">
        <v>37</v>
      </c>
      <c r="N4" s="152" t="s">
        <v>38</v>
      </c>
      <c r="O4" s="152" t="s">
        <v>132</v>
      </c>
      <c r="P4" s="152" t="s">
        <v>134</v>
      </c>
      <c r="Q4" s="152" t="s">
        <v>39</v>
      </c>
      <c r="R4" s="152" t="s">
        <v>40</v>
      </c>
    </row>
    <row r="5" spans="2:20" ht="15" customHeight="1" thickBot="1" x14ac:dyDescent="0.3">
      <c r="D5" s="106">
        <v>1500</v>
      </c>
      <c r="E5" s="138">
        <v>264</v>
      </c>
      <c r="G5" s="66">
        <v>1</v>
      </c>
      <c r="H5" s="65">
        <v>1.67</v>
      </c>
      <c r="I5" s="13">
        <v>4118</v>
      </c>
      <c r="K5" s="153"/>
      <c r="L5" s="153"/>
      <c r="M5" s="153"/>
      <c r="N5" s="153"/>
      <c r="O5" s="153"/>
      <c r="P5" s="153"/>
      <c r="Q5" s="153"/>
      <c r="R5" s="153"/>
    </row>
    <row r="6" spans="2:20" ht="15" customHeight="1" x14ac:dyDescent="0.25">
      <c r="D6" s="106">
        <v>1750</v>
      </c>
      <c r="E6" s="138">
        <v>446</v>
      </c>
      <c r="G6" s="66">
        <v>1.5</v>
      </c>
      <c r="H6" s="65">
        <v>3.33</v>
      </c>
      <c r="I6" s="13">
        <v>8211</v>
      </c>
      <c r="K6" s="102"/>
      <c r="L6" s="92">
        <v>130</v>
      </c>
      <c r="M6" s="92" t="s">
        <v>131</v>
      </c>
      <c r="N6" s="92" t="s">
        <v>35</v>
      </c>
      <c r="O6" s="92">
        <v>0.4</v>
      </c>
      <c r="P6" s="92">
        <v>0.5</v>
      </c>
      <c r="Q6" s="92"/>
      <c r="R6" s="103">
        <f t="shared" ref="R6:R37" si="0">ROUND($R$2*O6*P6*(1-Q6),0)</f>
        <v>411</v>
      </c>
      <c r="T6" s="114"/>
    </row>
    <row r="7" spans="2:20" ht="15" customHeight="1" x14ac:dyDescent="0.25">
      <c r="D7" s="106">
        <v>2000</v>
      </c>
      <c r="E7" s="138">
        <v>901</v>
      </c>
      <c r="G7" s="66">
        <v>2</v>
      </c>
      <c r="H7" s="65">
        <v>5.33</v>
      </c>
      <c r="I7" s="13">
        <v>13143</v>
      </c>
      <c r="K7" s="90"/>
      <c r="L7" s="91">
        <v>140</v>
      </c>
      <c r="M7" s="91" t="s">
        <v>41</v>
      </c>
      <c r="N7" s="91" t="s">
        <v>35</v>
      </c>
      <c r="O7" s="91">
        <v>0.67</v>
      </c>
      <c r="P7" s="91">
        <v>0.5</v>
      </c>
      <c r="Q7" s="91"/>
      <c r="R7" s="97">
        <f t="shared" si="0"/>
        <v>688</v>
      </c>
      <c r="T7" s="114"/>
    </row>
    <row r="8" spans="2:20" ht="15" customHeight="1" x14ac:dyDescent="0.25">
      <c r="D8" s="106">
        <v>2250</v>
      </c>
      <c r="E8" s="138">
        <v>1538</v>
      </c>
      <c r="G8" s="66">
        <v>3</v>
      </c>
      <c r="H8" s="65">
        <v>10</v>
      </c>
      <c r="I8" s="13">
        <v>24658</v>
      </c>
      <c r="K8" s="90"/>
      <c r="L8" s="91">
        <v>151</v>
      </c>
      <c r="M8" s="91" t="s">
        <v>133</v>
      </c>
      <c r="N8" s="91" t="s">
        <v>35</v>
      </c>
      <c r="O8" s="91">
        <v>0.17</v>
      </c>
      <c r="P8" s="91">
        <v>0.5</v>
      </c>
      <c r="Q8" s="91"/>
      <c r="R8" s="97">
        <f t="shared" si="0"/>
        <v>175</v>
      </c>
      <c r="T8" s="114"/>
    </row>
    <row r="9" spans="2:20" ht="15" customHeight="1" x14ac:dyDescent="0.25">
      <c r="D9" s="106">
        <v>2500</v>
      </c>
      <c r="E9" s="138">
        <v>2476</v>
      </c>
      <c r="G9" s="66">
        <v>4</v>
      </c>
      <c r="H9" s="65">
        <v>16.670000000000002</v>
      </c>
      <c r="I9" s="13">
        <v>41105</v>
      </c>
      <c r="K9" s="90"/>
      <c r="L9" s="91">
        <v>210</v>
      </c>
      <c r="M9" s="91" t="s">
        <v>42</v>
      </c>
      <c r="N9" s="91" t="s">
        <v>43</v>
      </c>
      <c r="O9" s="91">
        <v>0.99</v>
      </c>
      <c r="P9" s="91">
        <v>0.5</v>
      </c>
      <c r="Q9" s="91"/>
      <c r="R9" s="97">
        <f t="shared" si="0"/>
        <v>1016</v>
      </c>
      <c r="T9" s="114"/>
    </row>
    <row r="10" spans="2:20" ht="15" customHeight="1" x14ac:dyDescent="0.25">
      <c r="D10" s="106">
        <v>2750</v>
      </c>
      <c r="E10" s="138">
        <v>6724</v>
      </c>
      <c r="G10" s="66">
        <v>6</v>
      </c>
      <c r="H10" s="65">
        <v>33.33</v>
      </c>
      <c r="I10" s="13">
        <v>82186</v>
      </c>
      <c r="K10" s="90"/>
      <c r="L10" s="91">
        <v>220</v>
      </c>
      <c r="M10" s="91" t="s">
        <v>135</v>
      </c>
      <c r="N10" s="91" t="s">
        <v>43</v>
      </c>
      <c r="O10" s="91">
        <v>0.56000000000000005</v>
      </c>
      <c r="P10" s="91">
        <v>0.5</v>
      </c>
      <c r="Q10" s="91"/>
      <c r="R10" s="97">
        <f t="shared" si="0"/>
        <v>575</v>
      </c>
      <c r="T10" s="114"/>
    </row>
    <row r="11" spans="2:20" ht="15.75" thickBot="1" x14ac:dyDescent="0.3">
      <c r="D11" s="106">
        <v>3000</v>
      </c>
      <c r="E11" s="138">
        <v>26402</v>
      </c>
      <c r="G11" s="67">
        <v>8</v>
      </c>
      <c r="H11" s="68">
        <v>53.33</v>
      </c>
      <c r="I11" s="14">
        <v>131503</v>
      </c>
      <c r="K11" s="90"/>
      <c r="L11" s="91">
        <v>221</v>
      </c>
      <c r="M11" s="91" t="s">
        <v>136</v>
      </c>
      <c r="N11" s="91" t="s">
        <v>43</v>
      </c>
      <c r="O11" s="91">
        <v>0.44</v>
      </c>
      <c r="P11" s="91">
        <v>0.5</v>
      </c>
      <c r="Q11" s="91"/>
      <c r="R11" s="97">
        <f t="shared" si="0"/>
        <v>452</v>
      </c>
      <c r="T11" s="114"/>
    </row>
    <row r="12" spans="2:20" ht="15.75" thickBot="1" x14ac:dyDescent="0.3">
      <c r="D12" s="106">
        <v>3250</v>
      </c>
      <c r="E12" s="138">
        <v>34446</v>
      </c>
      <c r="K12" s="90"/>
      <c r="L12" s="91">
        <v>222</v>
      </c>
      <c r="M12" s="91" t="s">
        <v>137</v>
      </c>
      <c r="N12" s="91" t="s">
        <v>43</v>
      </c>
      <c r="O12" s="91">
        <v>0.36</v>
      </c>
      <c r="P12" s="91">
        <v>0.5</v>
      </c>
      <c r="Q12" s="91"/>
      <c r="R12" s="97">
        <f t="shared" si="0"/>
        <v>370</v>
      </c>
      <c r="T12" s="114"/>
    </row>
    <row r="13" spans="2:20" x14ac:dyDescent="0.25">
      <c r="D13" s="106">
        <v>3500</v>
      </c>
      <c r="E13" s="138">
        <v>46513</v>
      </c>
      <c r="G13" s="146" t="s">
        <v>159</v>
      </c>
      <c r="H13" s="147"/>
      <c r="I13" s="148"/>
      <c r="K13" s="90"/>
      <c r="L13" s="91">
        <v>240</v>
      </c>
      <c r="M13" s="91" t="s">
        <v>44</v>
      </c>
      <c r="N13" s="91" t="s">
        <v>138</v>
      </c>
      <c r="O13" s="91">
        <v>0.59</v>
      </c>
      <c r="P13" s="91">
        <v>0.5</v>
      </c>
      <c r="Q13" s="91"/>
      <c r="R13" s="97">
        <f t="shared" si="0"/>
        <v>606</v>
      </c>
      <c r="T13" s="114"/>
    </row>
    <row r="14" spans="2:20" ht="15.75" thickBot="1" x14ac:dyDescent="0.3">
      <c r="D14" s="106">
        <v>3750</v>
      </c>
      <c r="E14" s="138">
        <v>62602</v>
      </c>
      <c r="G14" s="149"/>
      <c r="H14" s="150"/>
      <c r="I14" s="151"/>
      <c r="K14" s="93"/>
      <c r="L14" s="91">
        <v>254</v>
      </c>
      <c r="M14" s="91" t="s">
        <v>139</v>
      </c>
      <c r="N14" s="91" t="s">
        <v>45</v>
      </c>
      <c r="O14" s="91">
        <v>0.26</v>
      </c>
      <c r="P14" s="91">
        <v>0.5</v>
      </c>
      <c r="Q14" s="91"/>
      <c r="R14" s="97">
        <f t="shared" si="0"/>
        <v>267</v>
      </c>
      <c r="T14" s="114"/>
    </row>
    <row r="15" spans="2:20" ht="15.75" thickBot="1" x14ac:dyDescent="0.3">
      <c r="D15" s="107">
        <v>4000</v>
      </c>
      <c r="E15" s="139">
        <v>215445</v>
      </c>
      <c r="G15" s="70" t="s">
        <v>106</v>
      </c>
      <c r="H15" s="12" t="s">
        <v>107</v>
      </c>
      <c r="I15" s="12" t="s">
        <v>108</v>
      </c>
      <c r="K15" s="93"/>
      <c r="L15" s="91">
        <v>310</v>
      </c>
      <c r="M15" s="91" t="s">
        <v>46</v>
      </c>
      <c r="N15" s="91" t="s">
        <v>47</v>
      </c>
      <c r="O15" s="91">
        <v>0.6</v>
      </c>
      <c r="P15" s="91">
        <v>0.5</v>
      </c>
      <c r="Q15" s="91"/>
      <c r="R15" s="97">
        <f t="shared" si="0"/>
        <v>616</v>
      </c>
      <c r="T15" s="114"/>
    </row>
    <row r="16" spans="2:20" x14ac:dyDescent="0.25">
      <c r="G16" s="69">
        <v>0.75</v>
      </c>
      <c r="H16" s="71">
        <v>1</v>
      </c>
      <c r="I16" s="72">
        <v>2019</v>
      </c>
      <c r="K16" s="93"/>
      <c r="L16" s="91">
        <v>444</v>
      </c>
      <c r="M16" s="91" t="s">
        <v>48</v>
      </c>
      <c r="N16" s="91" t="s">
        <v>35</v>
      </c>
      <c r="O16" s="91">
        <v>6.17</v>
      </c>
      <c r="P16" s="91">
        <v>0.5</v>
      </c>
      <c r="Q16" s="91"/>
      <c r="R16" s="97">
        <f t="shared" si="0"/>
        <v>6334</v>
      </c>
      <c r="T16" s="114"/>
    </row>
    <row r="17" spans="7:20" x14ac:dyDescent="0.25">
      <c r="G17" s="66">
        <v>1</v>
      </c>
      <c r="H17" s="65">
        <v>1.67</v>
      </c>
      <c r="I17" s="13">
        <v>3372</v>
      </c>
      <c r="K17" s="93"/>
      <c r="L17" s="91">
        <v>445</v>
      </c>
      <c r="M17" s="91" t="s">
        <v>49</v>
      </c>
      <c r="N17" s="91" t="s">
        <v>35</v>
      </c>
      <c r="O17" s="91">
        <v>4.91</v>
      </c>
      <c r="P17" s="91">
        <v>0.5</v>
      </c>
      <c r="Q17" s="91"/>
      <c r="R17" s="97">
        <f t="shared" si="0"/>
        <v>5041</v>
      </c>
      <c r="T17" s="114"/>
    </row>
    <row r="18" spans="7:20" x14ac:dyDescent="0.25">
      <c r="G18" s="66">
        <v>1.5</v>
      </c>
      <c r="H18" s="65">
        <v>3.33</v>
      </c>
      <c r="I18" s="13">
        <v>6724</v>
      </c>
      <c r="K18" s="93"/>
      <c r="L18" s="91">
        <v>492</v>
      </c>
      <c r="M18" s="91" t="s">
        <v>50</v>
      </c>
      <c r="N18" s="91" t="s">
        <v>35</v>
      </c>
      <c r="O18" s="91">
        <v>3.45</v>
      </c>
      <c r="P18" s="91">
        <v>0.5</v>
      </c>
      <c r="Q18" s="91"/>
      <c r="R18" s="97">
        <f t="shared" si="0"/>
        <v>3542</v>
      </c>
      <c r="T18" s="114"/>
    </row>
    <row r="19" spans="7:20" x14ac:dyDescent="0.25">
      <c r="G19" s="66">
        <v>2</v>
      </c>
      <c r="H19" s="65">
        <v>5.33</v>
      </c>
      <c r="I19" s="13">
        <v>10763</v>
      </c>
      <c r="K19" s="93"/>
      <c r="L19" s="91">
        <v>520</v>
      </c>
      <c r="M19" s="91" t="s">
        <v>51</v>
      </c>
      <c r="N19" s="91" t="s">
        <v>35</v>
      </c>
      <c r="O19" s="91">
        <v>1.37</v>
      </c>
      <c r="P19" s="91">
        <v>0.5</v>
      </c>
      <c r="Q19" s="91"/>
      <c r="R19" s="97">
        <f t="shared" si="0"/>
        <v>1407</v>
      </c>
      <c r="T19" s="114"/>
    </row>
    <row r="20" spans="7:20" x14ac:dyDescent="0.25">
      <c r="G20" s="66">
        <v>3</v>
      </c>
      <c r="H20" s="65">
        <v>10</v>
      </c>
      <c r="I20" s="13">
        <v>20192</v>
      </c>
      <c r="K20" s="93"/>
      <c r="L20" s="91">
        <v>522</v>
      </c>
      <c r="M20" s="91" t="s">
        <v>52</v>
      </c>
      <c r="N20" s="91" t="s">
        <v>35</v>
      </c>
      <c r="O20" s="91">
        <v>1.19</v>
      </c>
      <c r="P20" s="91">
        <v>0.5</v>
      </c>
      <c r="Q20" s="91"/>
      <c r="R20" s="97">
        <f t="shared" si="0"/>
        <v>1222</v>
      </c>
      <c r="T20" s="114"/>
    </row>
    <row r="21" spans="7:20" x14ac:dyDescent="0.25">
      <c r="G21" s="66">
        <v>4</v>
      </c>
      <c r="H21" s="65">
        <v>16.670000000000002</v>
      </c>
      <c r="I21" s="13">
        <v>33661</v>
      </c>
      <c r="K21" s="93"/>
      <c r="L21" s="91">
        <v>530</v>
      </c>
      <c r="M21" s="91" t="s">
        <v>53</v>
      </c>
      <c r="N21" s="91" t="s">
        <v>35</v>
      </c>
      <c r="O21" s="91">
        <v>0.97</v>
      </c>
      <c r="P21" s="91">
        <v>0.5</v>
      </c>
      <c r="Q21" s="91"/>
      <c r="R21" s="97">
        <f t="shared" si="0"/>
        <v>996</v>
      </c>
      <c r="T21" s="114"/>
    </row>
    <row r="22" spans="7:20" x14ac:dyDescent="0.25">
      <c r="G22" s="66">
        <v>6</v>
      </c>
      <c r="H22" s="65">
        <v>33.33</v>
      </c>
      <c r="I22" s="13">
        <v>67301</v>
      </c>
      <c r="K22" s="93"/>
      <c r="L22" s="91">
        <v>534</v>
      </c>
      <c r="M22" s="91" t="s">
        <v>54</v>
      </c>
      <c r="N22" s="91" t="s">
        <v>151</v>
      </c>
      <c r="O22" s="91">
        <v>0.26</v>
      </c>
      <c r="P22" s="91">
        <v>0.5</v>
      </c>
      <c r="Q22" s="91"/>
      <c r="R22" s="97">
        <f t="shared" si="0"/>
        <v>267</v>
      </c>
      <c r="T22" s="114"/>
    </row>
    <row r="23" spans="7:20" ht="15.75" thickBot="1" x14ac:dyDescent="0.3">
      <c r="G23" s="67">
        <v>8</v>
      </c>
      <c r="H23" s="68">
        <v>53.33</v>
      </c>
      <c r="I23" s="14">
        <v>107686</v>
      </c>
      <c r="K23" s="93"/>
      <c r="L23" s="91">
        <v>560</v>
      </c>
      <c r="M23" s="91" t="s">
        <v>55</v>
      </c>
      <c r="N23" s="91" t="s">
        <v>35</v>
      </c>
      <c r="O23" s="91">
        <v>0.49</v>
      </c>
      <c r="P23" s="91">
        <v>0.5</v>
      </c>
      <c r="Q23" s="91"/>
      <c r="R23" s="97">
        <f t="shared" si="0"/>
        <v>503</v>
      </c>
      <c r="T23" s="114"/>
    </row>
    <row r="24" spans="7:20" ht="15.75" thickBot="1" x14ac:dyDescent="0.3">
      <c r="K24" s="93"/>
      <c r="L24" s="91">
        <v>565</v>
      </c>
      <c r="M24" s="91" t="s">
        <v>56</v>
      </c>
      <c r="N24" s="91" t="s">
        <v>35</v>
      </c>
      <c r="O24" s="91">
        <v>11.12</v>
      </c>
      <c r="P24" s="91">
        <v>0.5</v>
      </c>
      <c r="Q24" s="91"/>
      <c r="R24" s="97">
        <f t="shared" si="0"/>
        <v>11416</v>
      </c>
      <c r="T24" s="114"/>
    </row>
    <row r="25" spans="7:20" x14ac:dyDescent="0.25">
      <c r="G25" s="146" t="s">
        <v>110</v>
      </c>
      <c r="H25" s="147"/>
      <c r="I25" s="148"/>
      <c r="K25" s="93"/>
      <c r="L25" s="91">
        <v>590</v>
      </c>
      <c r="M25" s="91" t="s">
        <v>57</v>
      </c>
      <c r="N25" s="91" t="s">
        <v>35</v>
      </c>
      <c r="O25" s="91">
        <v>8.16</v>
      </c>
      <c r="P25" s="91">
        <v>0.5</v>
      </c>
      <c r="Q25" s="91"/>
      <c r="R25" s="97">
        <f t="shared" si="0"/>
        <v>8377</v>
      </c>
      <c r="T25" s="114"/>
    </row>
    <row r="26" spans="7:20" ht="15.75" thickBot="1" x14ac:dyDescent="0.3">
      <c r="G26" s="149"/>
      <c r="H26" s="150"/>
      <c r="I26" s="151"/>
      <c r="K26" s="93"/>
      <c r="L26" s="91">
        <v>610</v>
      </c>
      <c r="M26" s="91" t="s">
        <v>58</v>
      </c>
      <c r="N26" s="91" t="s">
        <v>35</v>
      </c>
      <c r="O26" s="91">
        <v>0.97</v>
      </c>
      <c r="P26" s="91">
        <v>0.5</v>
      </c>
      <c r="Q26" s="91"/>
      <c r="R26" s="97">
        <f t="shared" si="0"/>
        <v>996</v>
      </c>
      <c r="T26" s="114"/>
    </row>
    <row r="27" spans="7:20" ht="15.75" thickBot="1" x14ac:dyDescent="0.3">
      <c r="G27" s="70" t="s">
        <v>106</v>
      </c>
      <c r="H27" s="12" t="s">
        <v>107</v>
      </c>
      <c r="I27" s="12" t="s">
        <v>108</v>
      </c>
      <c r="K27" s="93"/>
      <c r="L27" s="91">
        <v>710</v>
      </c>
      <c r="M27" s="91" t="s">
        <v>59</v>
      </c>
      <c r="N27" s="91" t="s">
        <v>35</v>
      </c>
      <c r="O27" s="91">
        <v>1.1499999999999999</v>
      </c>
      <c r="P27" s="91">
        <v>0.5</v>
      </c>
      <c r="Q27" s="91"/>
      <c r="R27" s="97">
        <f t="shared" si="0"/>
        <v>1181</v>
      </c>
      <c r="T27" s="114"/>
    </row>
    <row r="28" spans="7:20" x14ac:dyDescent="0.25">
      <c r="G28" s="69">
        <v>0.75</v>
      </c>
      <c r="H28" s="71">
        <v>1</v>
      </c>
      <c r="I28" s="72">
        <v>1217.18</v>
      </c>
      <c r="K28" s="93"/>
      <c r="L28" s="91">
        <v>720</v>
      </c>
      <c r="M28" s="91" t="s">
        <v>60</v>
      </c>
      <c r="N28" s="91" t="s">
        <v>35</v>
      </c>
      <c r="O28" s="91">
        <v>3.46</v>
      </c>
      <c r="P28" s="91">
        <v>0.5</v>
      </c>
      <c r="Q28" s="91"/>
      <c r="R28" s="97">
        <f t="shared" si="0"/>
        <v>3552</v>
      </c>
      <c r="T28" s="114"/>
    </row>
    <row r="29" spans="7:20" x14ac:dyDescent="0.25">
      <c r="G29" s="66">
        <v>1</v>
      </c>
      <c r="H29" s="65">
        <v>1.67</v>
      </c>
      <c r="I29" s="13">
        <v>2032.7</v>
      </c>
      <c r="K29" s="93"/>
      <c r="L29" s="91">
        <v>730</v>
      </c>
      <c r="M29" s="91" t="s">
        <v>140</v>
      </c>
      <c r="N29" s="91" t="s">
        <v>35</v>
      </c>
      <c r="O29" s="91">
        <v>1.71</v>
      </c>
      <c r="P29" s="91">
        <v>0.5</v>
      </c>
      <c r="Q29" s="91"/>
      <c r="R29" s="97">
        <f t="shared" si="0"/>
        <v>1756</v>
      </c>
      <c r="T29" s="114"/>
    </row>
    <row r="30" spans="7:20" x14ac:dyDescent="0.25">
      <c r="G30" s="66">
        <v>1.5</v>
      </c>
      <c r="H30" s="65">
        <v>3.33</v>
      </c>
      <c r="I30" s="13">
        <v>4053.22</v>
      </c>
      <c r="K30" s="93"/>
      <c r="L30" s="91">
        <v>770</v>
      </c>
      <c r="M30" s="91" t="s">
        <v>61</v>
      </c>
      <c r="N30" s="91" t="s">
        <v>35</v>
      </c>
      <c r="O30" s="91">
        <v>0.42</v>
      </c>
      <c r="P30" s="91">
        <v>0.5</v>
      </c>
      <c r="Q30" s="91"/>
      <c r="R30" s="97">
        <f t="shared" si="0"/>
        <v>431</v>
      </c>
      <c r="T30" s="114"/>
    </row>
    <row r="31" spans="7:20" x14ac:dyDescent="0.25">
      <c r="G31" s="66">
        <v>2</v>
      </c>
      <c r="H31" s="65">
        <v>5.33</v>
      </c>
      <c r="I31" s="13">
        <v>6487.59</v>
      </c>
      <c r="K31" s="93"/>
      <c r="L31" s="91">
        <v>812</v>
      </c>
      <c r="M31" s="91" t="s">
        <v>62</v>
      </c>
      <c r="N31" s="91" t="s">
        <v>35</v>
      </c>
      <c r="O31" s="91">
        <v>2.06</v>
      </c>
      <c r="P31" s="91">
        <v>0.5</v>
      </c>
      <c r="Q31" s="91"/>
      <c r="R31" s="97">
        <f t="shared" si="0"/>
        <v>2115</v>
      </c>
      <c r="T31" s="114"/>
    </row>
    <row r="32" spans="7:20" x14ac:dyDescent="0.25">
      <c r="G32" s="66">
        <v>3</v>
      </c>
      <c r="H32" s="65">
        <v>10</v>
      </c>
      <c r="I32" s="13">
        <v>12171.84</v>
      </c>
      <c r="K32" s="93"/>
      <c r="L32" s="91">
        <v>813</v>
      </c>
      <c r="M32" s="91" t="s">
        <v>99</v>
      </c>
      <c r="N32" s="94" t="s">
        <v>35</v>
      </c>
      <c r="O32" s="91">
        <v>4.33</v>
      </c>
      <c r="P32" s="91">
        <v>0.5</v>
      </c>
      <c r="Q32" s="91"/>
      <c r="R32" s="97">
        <f t="shared" si="0"/>
        <v>4445</v>
      </c>
      <c r="S32" s="1" t="s">
        <v>100</v>
      </c>
      <c r="T32" s="114"/>
    </row>
    <row r="33" spans="7:20" x14ac:dyDescent="0.25">
      <c r="G33" s="66">
        <v>4</v>
      </c>
      <c r="H33" s="65">
        <v>16.670000000000002</v>
      </c>
      <c r="I33" s="13">
        <v>20290.45</v>
      </c>
      <c r="K33" s="93"/>
      <c r="L33" s="91">
        <v>816</v>
      </c>
      <c r="M33" s="91" t="s">
        <v>141</v>
      </c>
      <c r="N33" s="91" t="s">
        <v>35</v>
      </c>
      <c r="O33" s="91">
        <v>2.68</v>
      </c>
      <c r="P33" s="91">
        <v>0.5</v>
      </c>
      <c r="Q33" s="91">
        <v>0.26</v>
      </c>
      <c r="R33" s="97">
        <f t="shared" si="0"/>
        <v>2036</v>
      </c>
      <c r="T33" s="114"/>
    </row>
    <row r="34" spans="7:20" x14ac:dyDescent="0.25">
      <c r="G34" s="66">
        <v>6</v>
      </c>
      <c r="H34" s="65">
        <v>33.33</v>
      </c>
      <c r="I34" s="13">
        <v>40568.730000000003</v>
      </c>
      <c r="K34" s="93"/>
      <c r="L34" s="91">
        <v>817</v>
      </c>
      <c r="M34" s="91" t="s">
        <v>63</v>
      </c>
      <c r="N34" s="91" t="s">
        <v>35</v>
      </c>
      <c r="O34" s="91">
        <v>6.94</v>
      </c>
      <c r="P34" s="91">
        <v>0.5</v>
      </c>
      <c r="Q34" s="91"/>
      <c r="R34" s="97">
        <f t="shared" si="0"/>
        <v>7125</v>
      </c>
      <c r="T34" s="114"/>
    </row>
    <row r="35" spans="7:20" ht="15.75" thickBot="1" x14ac:dyDescent="0.3">
      <c r="G35" s="67">
        <v>8</v>
      </c>
      <c r="H35" s="68">
        <v>53.33</v>
      </c>
      <c r="I35" s="14">
        <v>64912.4</v>
      </c>
      <c r="K35" s="93"/>
      <c r="L35" s="91">
        <v>820</v>
      </c>
      <c r="M35" s="91" t="s">
        <v>64</v>
      </c>
      <c r="N35" s="91" t="s">
        <v>35</v>
      </c>
      <c r="O35" s="91">
        <v>3.81</v>
      </c>
      <c r="P35" s="91">
        <v>0.5</v>
      </c>
      <c r="Q35" s="91">
        <v>0.34</v>
      </c>
      <c r="R35" s="97">
        <f t="shared" si="0"/>
        <v>2582</v>
      </c>
      <c r="T35" s="114"/>
    </row>
    <row r="36" spans="7:20" x14ac:dyDescent="0.25">
      <c r="K36" s="93"/>
      <c r="L36" s="91">
        <v>841</v>
      </c>
      <c r="M36" s="91" t="s">
        <v>65</v>
      </c>
      <c r="N36" s="91" t="s">
        <v>35</v>
      </c>
      <c r="O36" s="91">
        <v>3.75</v>
      </c>
      <c r="P36" s="91">
        <v>0.5</v>
      </c>
      <c r="Q36" s="91"/>
      <c r="R36" s="97">
        <f t="shared" si="0"/>
        <v>3850</v>
      </c>
      <c r="T36" s="114"/>
    </row>
    <row r="37" spans="7:20" x14ac:dyDescent="0.25">
      <c r="K37" s="93"/>
      <c r="L37" s="91">
        <v>848</v>
      </c>
      <c r="M37" s="91" t="s">
        <v>66</v>
      </c>
      <c r="N37" s="91" t="s">
        <v>35</v>
      </c>
      <c r="O37" s="91">
        <v>3.98</v>
      </c>
      <c r="P37" s="91">
        <v>0.5</v>
      </c>
      <c r="Q37" s="91">
        <v>0.28000000000000003</v>
      </c>
      <c r="R37" s="97">
        <f t="shared" si="0"/>
        <v>2942</v>
      </c>
      <c r="T37" s="114"/>
    </row>
    <row r="38" spans="7:20" x14ac:dyDescent="0.25">
      <c r="K38" s="93"/>
      <c r="L38" s="91">
        <v>850</v>
      </c>
      <c r="M38" s="91" t="s">
        <v>67</v>
      </c>
      <c r="N38" s="91" t="s">
        <v>35</v>
      </c>
      <c r="O38" s="91">
        <v>9.24</v>
      </c>
      <c r="P38" s="91">
        <v>0.5</v>
      </c>
      <c r="Q38" s="91">
        <v>0.36</v>
      </c>
      <c r="R38" s="97">
        <f t="shared" ref="R38:R68" si="1">ROUND($R$2*O38*P38*(1-Q38),0)</f>
        <v>6071</v>
      </c>
      <c r="T38" s="114"/>
    </row>
    <row r="39" spans="7:20" x14ac:dyDescent="0.25">
      <c r="K39" s="93"/>
      <c r="L39" s="91">
        <v>851</v>
      </c>
      <c r="M39" s="91" t="s">
        <v>142</v>
      </c>
      <c r="N39" s="91" t="s">
        <v>35</v>
      </c>
      <c r="O39" s="91">
        <v>49.11</v>
      </c>
      <c r="P39" s="91">
        <v>0.5</v>
      </c>
      <c r="Q39" s="91">
        <v>0.51</v>
      </c>
      <c r="R39" s="97">
        <f t="shared" si="1"/>
        <v>24705</v>
      </c>
      <c r="T39" s="114"/>
    </row>
    <row r="40" spans="7:20" x14ac:dyDescent="0.25">
      <c r="K40" s="93"/>
      <c r="L40" s="91">
        <v>862</v>
      </c>
      <c r="M40" s="91" t="s">
        <v>153</v>
      </c>
      <c r="N40" s="91" t="s">
        <v>35</v>
      </c>
      <c r="O40" s="91">
        <v>2.33</v>
      </c>
      <c r="P40" s="91">
        <v>0.5</v>
      </c>
      <c r="Q40" s="91">
        <v>0.53</v>
      </c>
      <c r="R40" s="97">
        <f t="shared" si="1"/>
        <v>1124</v>
      </c>
      <c r="S40" s="1" t="s">
        <v>154</v>
      </c>
      <c r="T40" s="114"/>
    </row>
    <row r="41" spans="7:20" x14ac:dyDescent="0.25">
      <c r="K41" s="93"/>
      <c r="L41" s="91">
        <v>880</v>
      </c>
      <c r="M41" s="91" t="s">
        <v>148</v>
      </c>
      <c r="N41" s="91" t="s">
        <v>35</v>
      </c>
      <c r="O41" s="91">
        <v>8.51</v>
      </c>
      <c r="P41" s="91">
        <v>0.5</v>
      </c>
      <c r="Q41" s="91">
        <v>0.53</v>
      </c>
      <c r="R41" s="97">
        <f t="shared" si="1"/>
        <v>4106</v>
      </c>
      <c r="T41" s="114"/>
    </row>
    <row r="42" spans="7:20" x14ac:dyDescent="0.25">
      <c r="K42" s="93"/>
      <c r="L42" s="91">
        <v>881</v>
      </c>
      <c r="M42" s="91" t="s">
        <v>149</v>
      </c>
      <c r="N42" s="91" t="s">
        <v>35</v>
      </c>
      <c r="O42" s="91">
        <v>10.29</v>
      </c>
      <c r="P42" s="91">
        <v>0.5</v>
      </c>
      <c r="Q42" s="91">
        <v>0.49</v>
      </c>
      <c r="R42" s="97">
        <f t="shared" si="1"/>
        <v>5388</v>
      </c>
      <c r="T42" s="114"/>
    </row>
    <row r="43" spans="7:20" x14ac:dyDescent="0.25">
      <c r="K43" s="93"/>
      <c r="L43" s="91">
        <v>890</v>
      </c>
      <c r="M43" s="91" t="s">
        <v>143</v>
      </c>
      <c r="N43" s="91" t="s">
        <v>35</v>
      </c>
      <c r="O43" s="91">
        <v>0.52</v>
      </c>
      <c r="P43" s="91">
        <v>0.5</v>
      </c>
      <c r="Q43" s="91">
        <v>0.53</v>
      </c>
      <c r="R43" s="97">
        <f t="shared" si="1"/>
        <v>251</v>
      </c>
      <c r="T43" s="114"/>
    </row>
    <row r="44" spans="7:20" x14ac:dyDescent="0.25">
      <c r="K44" s="93"/>
      <c r="L44" s="91">
        <v>911</v>
      </c>
      <c r="M44" s="91" t="s">
        <v>144</v>
      </c>
      <c r="N44" s="91" t="s">
        <v>35</v>
      </c>
      <c r="O44" s="91">
        <v>12.13</v>
      </c>
      <c r="P44" s="91">
        <v>0.5</v>
      </c>
      <c r="Q44" s="91"/>
      <c r="R44" s="97">
        <f t="shared" si="1"/>
        <v>12453</v>
      </c>
      <c r="T44" s="114"/>
    </row>
    <row r="45" spans="7:20" x14ac:dyDescent="0.25">
      <c r="K45" s="93"/>
      <c r="L45" s="91">
        <v>912</v>
      </c>
      <c r="M45" s="91" t="s">
        <v>145</v>
      </c>
      <c r="N45" s="91" t="s">
        <v>35</v>
      </c>
      <c r="O45" s="91">
        <v>20.45</v>
      </c>
      <c r="P45" s="91">
        <v>0.5</v>
      </c>
      <c r="Q45" s="91">
        <v>0.35</v>
      </c>
      <c r="R45" s="97">
        <f t="shared" si="1"/>
        <v>13647</v>
      </c>
      <c r="T45" s="114"/>
    </row>
    <row r="46" spans="7:20" x14ac:dyDescent="0.25">
      <c r="K46" s="93"/>
      <c r="L46" s="91">
        <v>918</v>
      </c>
      <c r="M46" s="91" t="s">
        <v>146</v>
      </c>
      <c r="N46" s="91" t="s">
        <v>35</v>
      </c>
      <c r="O46" s="91">
        <v>1.45</v>
      </c>
      <c r="P46" s="91">
        <v>0.5</v>
      </c>
      <c r="Q46" s="91"/>
      <c r="R46" s="97">
        <f t="shared" si="1"/>
        <v>1489</v>
      </c>
      <c r="T46" s="114"/>
    </row>
    <row r="47" spans="7:20" x14ac:dyDescent="0.25">
      <c r="K47" s="93"/>
      <c r="L47" s="91">
        <v>932</v>
      </c>
      <c r="M47" s="91" t="s">
        <v>75</v>
      </c>
      <c r="N47" s="91" t="s">
        <v>35</v>
      </c>
      <c r="O47" s="91">
        <v>9.77</v>
      </c>
      <c r="P47" s="91">
        <v>0.5</v>
      </c>
      <c r="Q47" s="91">
        <v>0.44</v>
      </c>
      <c r="R47" s="97">
        <f t="shared" si="1"/>
        <v>5617</v>
      </c>
      <c r="T47" s="114"/>
    </row>
    <row r="48" spans="7:20" x14ac:dyDescent="0.25">
      <c r="K48" s="93"/>
      <c r="L48" s="91">
        <v>933</v>
      </c>
      <c r="M48" s="91" t="s">
        <v>147</v>
      </c>
      <c r="N48" s="91" t="s">
        <v>35</v>
      </c>
      <c r="O48" s="91">
        <v>28.34</v>
      </c>
      <c r="P48" s="91">
        <v>0.5</v>
      </c>
      <c r="Q48" s="91">
        <v>0.43</v>
      </c>
      <c r="R48" s="97">
        <f t="shared" si="1"/>
        <v>16584</v>
      </c>
      <c r="T48" s="114"/>
    </row>
    <row r="49" spans="11:20" x14ac:dyDescent="0.25">
      <c r="K49" s="93"/>
      <c r="L49" s="91">
        <v>934</v>
      </c>
      <c r="M49" s="91" t="s">
        <v>156</v>
      </c>
      <c r="N49" s="91" t="s">
        <v>35</v>
      </c>
      <c r="O49" s="91">
        <v>32.67</v>
      </c>
      <c r="P49" s="91">
        <v>0.5</v>
      </c>
      <c r="Q49" s="116">
        <v>0.5</v>
      </c>
      <c r="R49" s="97">
        <f t="shared" si="1"/>
        <v>16770</v>
      </c>
      <c r="T49" s="114"/>
    </row>
    <row r="50" spans="11:20" x14ac:dyDescent="0.25">
      <c r="K50" s="93"/>
      <c r="L50" s="91">
        <v>942</v>
      </c>
      <c r="M50" s="91" t="s">
        <v>68</v>
      </c>
      <c r="N50" s="91" t="s">
        <v>152</v>
      </c>
      <c r="O50" s="91">
        <v>3.11</v>
      </c>
      <c r="P50" s="91">
        <v>0.5</v>
      </c>
      <c r="Q50" s="91"/>
      <c r="R50" s="97">
        <f t="shared" si="1"/>
        <v>3193</v>
      </c>
      <c r="T50" s="114"/>
    </row>
    <row r="51" spans="11:20" x14ac:dyDescent="0.25">
      <c r="K51" s="93"/>
      <c r="L51" s="91">
        <v>944</v>
      </c>
      <c r="M51" s="91" t="s">
        <v>69</v>
      </c>
      <c r="N51" s="91" t="s">
        <v>70</v>
      </c>
      <c r="O51" s="91">
        <v>14.03</v>
      </c>
      <c r="P51" s="91">
        <v>0.5</v>
      </c>
      <c r="Q51" s="91">
        <v>0.42</v>
      </c>
      <c r="R51" s="97">
        <f t="shared" si="1"/>
        <v>8354</v>
      </c>
      <c r="T51" s="114"/>
    </row>
    <row r="52" spans="11:20" x14ac:dyDescent="0.25">
      <c r="K52" s="93"/>
      <c r="L52" s="91">
        <v>945</v>
      </c>
      <c r="M52" s="91" t="s">
        <v>71</v>
      </c>
      <c r="N52" s="91" t="s">
        <v>35</v>
      </c>
      <c r="O52" s="91">
        <v>88.35</v>
      </c>
      <c r="P52" s="91">
        <v>0.5</v>
      </c>
      <c r="Q52" s="91">
        <v>0.56000000000000005</v>
      </c>
      <c r="R52" s="97">
        <f t="shared" si="1"/>
        <v>39910</v>
      </c>
      <c r="T52" s="114"/>
    </row>
    <row r="53" spans="11:20" x14ac:dyDescent="0.25">
      <c r="K53" s="93"/>
      <c r="L53" s="91">
        <v>947</v>
      </c>
      <c r="M53" s="91" t="s">
        <v>72</v>
      </c>
      <c r="N53" s="91" t="s">
        <v>73</v>
      </c>
      <c r="O53" s="91">
        <v>5.54</v>
      </c>
      <c r="P53" s="91">
        <v>0.5</v>
      </c>
      <c r="Q53" s="91"/>
      <c r="R53" s="97">
        <f t="shared" si="1"/>
        <v>5688</v>
      </c>
      <c r="T53" s="114"/>
    </row>
    <row r="54" spans="11:20" x14ac:dyDescent="0.25">
      <c r="K54" s="93"/>
      <c r="L54" s="91">
        <v>948</v>
      </c>
      <c r="M54" s="91" t="s">
        <v>74</v>
      </c>
      <c r="N54" s="91" t="s">
        <v>35</v>
      </c>
      <c r="O54" s="91">
        <v>14.2</v>
      </c>
      <c r="P54" s="91">
        <v>0.5</v>
      </c>
      <c r="Q54" s="91"/>
      <c r="R54" s="97">
        <f t="shared" si="1"/>
        <v>14578</v>
      </c>
      <c r="T54" s="114"/>
    </row>
    <row r="55" spans="11:20" x14ac:dyDescent="0.25">
      <c r="K55" s="93"/>
      <c r="L55" s="115" t="s">
        <v>174</v>
      </c>
      <c r="M55" s="115" t="s">
        <v>174</v>
      </c>
      <c r="N55" s="115" t="s">
        <v>174</v>
      </c>
      <c r="O55" s="91">
        <v>0</v>
      </c>
      <c r="P55" s="91">
        <v>0</v>
      </c>
      <c r="Q55" s="91">
        <v>0</v>
      </c>
      <c r="R55" s="97">
        <f t="shared" si="1"/>
        <v>0</v>
      </c>
      <c r="T55" s="114"/>
    </row>
    <row r="56" spans="11:20" x14ac:dyDescent="0.25">
      <c r="K56" s="98"/>
      <c r="L56" s="91"/>
      <c r="M56" s="91"/>
      <c r="N56" s="91"/>
      <c r="O56" s="91"/>
      <c r="P56" s="91"/>
      <c r="Q56" s="91"/>
      <c r="R56" s="97">
        <f t="shared" si="1"/>
        <v>0</v>
      </c>
    </row>
    <row r="57" spans="11:20" x14ac:dyDescent="0.25">
      <c r="K57" s="98"/>
      <c r="L57" s="91"/>
      <c r="M57" s="91"/>
      <c r="N57" s="91"/>
      <c r="O57" s="91"/>
      <c r="P57" s="91"/>
      <c r="Q57" s="91"/>
      <c r="R57" s="97">
        <f t="shared" si="1"/>
        <v>0</v>
      </c>
    </row>
    <row r="58" spans="11:20" x14ac:dyDescent="0.25">
      <c r="K58" s="98"/>
      <c r="L58" s="91"/>
      <c r="M58" s="91"/>
      <c r="N58" s="91"/>
      <c r="O58" s="91"/>
      <c r="P58" s="91"/>
      <c r="Q58" s="91"/>
      <c r="R58" s="97">
        <f t="shared" si="1"/>
        <v>0</v>
      </c>
    </row>
    <row r="59" spans="11:20" x14ac:dyDescent="0.25">
      <c r="K59" s="98"/>
      <c r="L59" s="91"/>
      <c r="M59" s="91"/>
      <c r="N59" s="91"/>
      <c r="O59" s="91"/>
      <c r="P59" s="91"/>
      <c r="Q59" s="91"/>
      <c r="R59" s="97">
        <f t="shared" si="1"/>
        <v>0</v>
      </c>
    </row>
    <row r="60" spans="11:20" x14ac:dyDescent="0.25">
      <c r="K60" s="98"/>
      <c r="L60" s="91"/>
      <c r="M60" s="91"/>
      <c r="N60" s="91"/>
      <c r="O60" s="91"/>
      <c r="P60" s="91"/>
      <c r="Q60" s="91"/>
      <c r="R60" s="97">
        <f t="shared" si="1"/>
        <v>0</v>
      </c>
    </row>
    <row r="61" spans="11:20" x14ac:dyDescent="0.25">
      <c r="K61" s="98"/>
      <c r="L61" s="91"/>
      <c r="M61" s="91"/>
      <c r="N61" s="91"/>
      <c r="O61" s="91"/>
      <c r="P61" s="91"/>
      <c r="Q61" s="91"/>
      <c r="R61" s="97">
        <f t="shared" si="1"/>
        <v>0</v>
      </c>
    </row>
    <row r="62" spans="11:20" x14ac:dyDescent="0.25">
      <c r="K62" s="98"/>
      <c r="L62" s="91"/>
      <c r="M62" s="91"/>
      <c r="N62" s="91"/>
      <c r="O62" s="91"/>
      <c r="P62" s="91"/>
      <c r="Q62" s="91"/>
      <c r="R62" s="97">
        <f t="shared" si="1"/>
        <v>0</v>
      </c>
    </row>
    <row r="63" spans="11:20" x14ac:dyDescent="0.25">
      <c r="K63" s="98"/>
      <c r="L63" s="91"/>
      <c r="M63" s="91"/>
      <c r="N63" s="91"/>
      <c r="O63" s="91"/>
      <c r="P63" s="91"/>
      <c r="Q63" s="91"/>
      <c r="R63" s="97">
        <f t="shared" si="1"/>
        <v>0</v>
      </c>
    </row>
    <row r="64" spans="11:20" x14ac:dyDescent="0.25">
      <c r="K64" s="98"/>
      <c r="L64" s="91"/>
      <c r="M64" s="91"/>
      <c r="N64" s="91"/>
      <c r="O64" s="91"/>
      <c r="P64" s="91"/>
      <c r="Q64" s="91"/>
      <c r="R64" s="97">
        <f t="shared" si="1"/>
        <v>0</v>
      </c>
    </row>
    <row r="65" spans="11:18" x14ac:dyDescent="0.25">
      <c r="K65" s="98"/>
      <c r="L65" s="91"/>
      <c r="M65" s="91"/>
      <c r="N65" s="91"/>
      <c r="O65" s="91"/>
      <c r="P65" s="91"/>
      <c r="Q65" s="91"/>
      <c r="R65" s="97">
        <f t="shared" si="1"/>
        <v>0</v>
      </c>
    </row>
    <row r="66" spans="11:18" x14ac:dyDescent="0.25">
      <c r="K66" s="98"/>
      <c r="L66" s="91"/>
      <c r="M66" s="91"/>
      <c r="N66" s="91"/>
      <c r="O66" s="91"/>
      <c r="P66" s="91"/>
      <c r="Q66" s="91"/>
      <c r="R66" s="97">
        <f t="shared" si="1"/>
        <v>0</v>
      </c>
    </row>
    <row r="67" spans="11:18" x14ac:dyDescent="0.25">
      <c r="K67" s="98"/>
      <c r="L67" s="91"/>
      <c r="M67" s="91"/>
      <c r="N67" s="91"/>
      <c r="O67" s="91"/>
      <c r="P67" s="91"/>
      <c r="Q67" s="91"/>
      <c r="R67" s="97">
        <f t="shared" si="1"/>
        <v>0</v>
      </c>
    </row>
    <row r="68" spans="11:18" ht="15.75" thickBot="1" x14ac:dyDescent="0.3">
      <c r="K68" s="99"/>
      <c r="L68" s="100"/>
      <c r="M68" s="100"/>
      <c r="N68" s="100"/>
      <c r="O68" s="100"/>
      <c r="P68" s="100"/>
      <c r="Q68" s="100"/>
      <c r="R68" s="101">
        <f t="shared" si="1"/>
        <v>0</v>
      </c>
    </row>
  </sheetData>
  <mergeCells count="13">
    <mergeCell ref="R4:R5"/>
    <mergeCell ref="K3:R3"/>
    <mergeCell ref="K4:K5"/>
    <mergeCell ref="L4:L5"/>
    <mergeCell ref="M4:M5"/>
    <mergeCell ref="N4:N5"/>
    <mergeCell ref="O4:O5"/>
    <mergeCell ref="P4:P5"/>
    <mergeCell ref="D2:E2"/>
    <mergeCell ref="G2:I2"/>
    <mergeCell ref="G13:I14"/>
    <mergeCell ref="G25:I26"/>
    <mergeCell ref="Q4:Q5"/>
  </mergeCells>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9"/>
  <sheetViews>
    <sheetView tabSelected="1" view="pageBreakPreview" zoomScaleNormal="100" zoomScaleSheetLayoutView="100" workbookViewId="0">
      <selection activeCell="E22" sqref="E22"/>
    </sheetView>
  </sheetViews>
  <sheetFormatPr defaultColWidth="9.140625" defaultRowHeight="12.75" x14ac:dyDescent="0.2"/>
  <cols>
    <col min="1" max="1" width="13.140625" style="1" customWidth="1"/>
    <col min="2" max="2" width="33.42578125" style="2" customWidth="1"/>
    <col min="3" max="3" width="40" style="1" customWidth="1"/>
    <col min="4" max="4" width="24.5703125" style="1" customWidth="1"/>
    <col min="5" max="5" width="24.5703125" style="3" customWidth="1"/>
    <col min="6" max="6" width="24.5703125" style="1" customWidth="1"/>
    <col min="7" max="7" width="14.28515625" style="1" customWidth="1"/>
    <col min="8" max="8" width="13.42578125" style="1" customWidth="1"/>
    <col min="9" max="9" width="31.42578125" style="1" customWidth="1"/>
    <col min="10" max="10" width="13.28515625" style="1" customWidth="1"/>
    <col min="11" max="11" width="9.140625" style="1"/>
    <col min="12" max="12" width="44" style="1" bestFit="1" customWidth="1"/>
    <col min="13" max="13" width="22.7109375" style="1" customWidth="1"/>
    <col min="14" max="14" width="9.140625" style="1"/>
    <col min="15" max="15" width="13.28515625" style="1" customWidth="1"/>
    <col min="16" max="16" width="15.5703125" style="1" customWidth="1"/>
    <col min="17" max="17" width="11.5703125" style="1" bestFit="1" customWidth="1"/>
    <col min="18" max="19" width="9.140625" style="1"/>
    <col min="20" max="20" width="16.140625" style="1" customWidth="1"/>
    <col min="21" max="16384" width="9.140625" style="1"/>
  </cols>
  <sheetData>
    <row r="1" spans="1:7" ht="99.75" customHeight="1" x14ac:dyDescent="0.2">
      <c r="B1" s="159" t="s">
        <v>172</v>
      </c>
      <c r="C1" s="160"/>
      <c r="D1" s="160"/>
      <c r="E1" s="160"/>
    </row>
    <row r="2" spans="1:7" ht="52.5" customHeight="1" x14ac:dyDescent="0.2">
      <c r="A2" s="1" t="s">
        <v>173</v>
      </c>
      <c r="B2" s="171" t="s">
        <v>169</v>
      </c>
      <c r="C2" s="171"/>
      <c r="D2" s="171"/>
      <c r="E2" s="171"/>
      <c r="G2" s="1" t="s">
        <v>170</v>
      </c>
    </row>
    <row r="3" spans="1:7" ht="29.25" customHeight="1" x14ac:dyDescent="0.3">
      <c r="A3" s="108"/>
      <c r="B3" s="161" t="s">
        <v>113</v>
      </c>
      <c r="C3" s="162"/>
      <c r="D3" s="162"/>
      <c r="E3" s="162"/>
    </row>
    <row r="4" spans="1:7" ht="123" customHeight="1" x14ac:dyDescent="0.2">
      <c r="A4" s="157" t="s">
        <v>129</v>
      </c>
      <c r="B4" s="157"/>
      <c r="C4" s="157"/>
      <c r="D4" s="157"/>
      <c r="E4" s="157"/>
      <c r="F4" s="157"/>
      <c r="G4" s="1" t="s">
        <v>112</v>
      </c>
    </row>
    <row r="5" spans="1:7" ht="15" customHeight="1" x14ac:dyDescent="0.2">
      <c r="A5" s="25"/>
      <c r="B5" s="26" t="s">
        <v>11</v>
      </c>
      <c r="C5" s="27"/>
      <c r="D5" s="27"/>
      <c r="E5" s="28"/>
      <c r="F5" s="29"/>
    </row>
    <row r="6" spans="1:7" ht="15" customHeight="1" x14ac:dyDescent="0.25">
      <c r="A6" s="30"/>
      <c r="B6" s="16"/>
      <c r="C6" s="1" t="s">
        <v>86</v>
      </c>
      <c r="D6" s="84" t="b">
        <v>1</v>
      </c>
      <c r="E6" s="19" t="s">
        <v>167</v>
      </c>
      <c r="F6" s="31"/>
    </row>
    <row r="7" spans="1:7" ht="15" customHeight="1" x14ac:dyDescent="0.25">
      <c r="A7" s="30"/>
      <c r="C7" s="1" t="s">
        <v>117</v>
      </c>
      <c r="D7" s="85">
        <v>0.75</v>
      </c>
      <c r="E7" s="19" t="s">
        <v>168</v>
      </c>
      <c r="F7" s="31"/>
    </row>
    <row r="8" spans="1:7" ht="15" customHeight="1" x14ac:dyDescent="0.25">
      <c r="A8" s="30"/>
      <c r="C8" s="1" t="s">
        <v>118</v>
      </c>
      <c r="D8" s="18">
        <v>0</v>
      </c>
      <c r="E8" s="19" t="s">
        <v>119</v>
      </c>
      <c r="F8" s="31"/>
      <c r="G8" s="1" t="s">
        <v>127</v>
      </c>
    </row>
    <row r="9" spans="1:7" ht="15" customHeight="1" x14ac:dyDescent="0.25">
      <c r="A9" s="30"/>
      <c r="C9" s="1" t="s">
        <v>115</v>
      </c>
      <c r="D9" s="18">
        <v>0</v>
      </c>
      <c r="E9" s="19"/>
      <c r="F9" s="31"/>
      <c r="G9" s="1" t="s">
        <v>124</v>
      </c>
    </row>
    <row r="10" spans="1:7" ht="15" customHeight="1" x14ac:dyDescent="0.25">
      <c r="A10" s="30"/>
      <c r="C10" s="1" t="s">
        <v>120</v>
      </c>
      <c r="D10" s="20">
        <v>0</v>
      </c>
      <c r="E10" s="19"/>
      <c r="F10" s="31"/>
      <c r="G10" s="1" t="s">
        <v>175</v>
      </c>
    </row>
    <row r="11" spans="1:7" ht="15" customHeight="1" x14ac:dyDescent="0.25">
      <c r="A11" s="32"/>
      <c r="B11" s="33"/>
      <c r="C11" s="34"/>
      <c r="D11" s="35"/>
      <c r="E11" s="36"/>
      <c r="F11" s="37"/>
    </row>
    <row r="12" spans="1:7" ht="15" customHeight="1" x14ac:dyDescent="0.2">
      <c r="A12" s="25"/>
      <c r="B12" s="26" t="s">
        <v>83</v>
      </c>
      <c r="C12" s="27"/>
      <c r="D12" s="27"/>
      <c r="E12" s="28"/>
      <c r="F12" s="29"/>
    </row>
    <row r="13" spans="1:7" ht="30" customHeight="1" x14ac:dyDescent="0.2">
      <c r="A13" s="30"/>
      <c r="D13" s="15"/>
      <c r="F13" s="31"/>
    </row>
    <row r="14" spans="1:7" ht="26.25" customHeight="1" x14ac:dyDescent="0.2">
      <c r="A14" s="30"/>
      <c r="C14" s="140" t="str">
        <f>IF(D6=TRUE,'Lookup Tables'!B3,'Lookup Tables'!B4)</f>
        <v>Central Utah Water Conservancy District Water Rights</v>
      </c>
      <c r="D14" s="38"/>
      <c r="F14" s="31"/>
    </row>
    <row r="15" spans="1:7" ht="15" customHeight="1" x14ac:dyDescent="0.25">
      <c r="A15" s="30"/>
      <c r="B15" s="1"/>
      <c r="C15" s="1" t="s">
        <v>114</v>
      </c>
      <c r="D15" s="82">
        <f>IF(D6=TRUE,VLOOKUP(D7,'Lookup Tables'!G16:I23,3),IF(D6=FALSE,VLOOKUP(D7,'Lookup Tables'!G4:I11,3),"Input Error"))</f>
        <v>2019</v>
      </c>
      <c r="E15" s="40"/>
      <c r="F15" s="31"/>
      <c r="G15" s="1" t="s">
        <v>176</v>
      </c>
    </row>
    <row r="16" spans="1:7" ht="15" customHeight="1" x14ac:dyDescent="0.25">
      <c r="A16" s="30"/>
      <c r="B16" s="1"/>
      <c r="C16" s="1" t="s">
        <v>109</v>
      </c>
      <c r="D16" s="20">
        <v>1500</v>
      </c>
      <c r="E16" s="19" t="s">
        <v>166</v>
      </c>
      <c r="F16" s="31"/>
      <c r="G16" s="1" t="s">
        <v>123</v>
      </c>
    </row>
    <row r="17" spans="1:12" ht="15" customHeight="1" x14ac:dyDescent="0.25">
      <c r="A17" s="30"/>
      <c r="B17" s="1"/>
      <c r="C17" s="41" t="s">
        <v>104</v>
      </c>
      <c r="D17" s="42">
        <f>VLOOKUP(D16,'Lookup Tables'!D5:E15,2,FALSE)</f>
        <v>264</v>
      </c>
      <c r="E17" s="40"/>
      <c r="F17" s="31"/>
    </row>
    <row r="18" spans="1:12" ht="15" customHeight="1" x14ac:dyDescent="0.25">
      <c r="A18" s="30"/>
      <c r="D18" s="82"/>
      <c r="F18" s="31"/>
    </row>
    <row r="19" spans="1:12" ht="25.5" customHeight="1" thickBot="1" x14ac:dyDescent="0.25">
      <c r="A19" s="30"/>
      <c r="B19" s="21" t="s">
        <v>89</v>
      </c>
      <c r="C19" s="74" t="s">
        <v>121</v>
      </c>
      <c r="D19" s="117">
        <f>D15+D17</f>
        <v>2283</v>
      </c>
      <c r="F19" s="31"/>
      <c r="G19" s="1" t="s">
        <v>103</v>
      </c>
    </row>
    <row r="20" spans="1:12" ht="15" customHeight="1" x14ac:dyDescent="0.2">
      <c r="A20" s="32"/>
      <c r="B20" s="33"/>
      <c r="C20" s="33"/>
      <c r="D20" s="118"/>
      <c r="E20" s="36"/>
      <c r="F20" s="37"/>
    </row>
    <row r="21" spans="1:12" ht="15" customHeight="1" x14ac:dyDescent="0.2">
      <c r="A21" s="25"/>
      <c r="B21" s="26" t="s">
        <v>15</v>
      </c>
      <c r="C21" s="27"/>
      <c r="D21" s="27"/>
      <c r="E21" s="28"/>
      <c r="F21" s="29"/>
    </row>
    <row r="22" spans="1:12" ht="15" customHeight="1" x14ac:dyDescent="0.2">
      <c r="A22" s="30"/>
      <c r="B22" s="43"/>
      <c r="C22" s="1" t="s">
        <v>18</v>
      </c>
      <c r="D22" s="119">
        <f>D8</f>
        <v>0</v>
      </c>
      <c r="E22" s="19"/>
      <c r="F22" s="31"/>
    </row>
    <row r="23" spans="1:12" ht="15" customHeight="1" x14ac:dyDescent="0.2">
      <c r="A23" s="30"/>
      <c r="B23" s="43"/>
      <c r="C23" s="1" t="s">
        <v>80</v>
      </c>
      <c r="D23" s="46">
        <v>41694</v>
      </c>
      <c r="F23" s="31"/>
      <c r="G23" s="30" t="s">
        <v>178</v>
      </c>
    </row>
    <row r="24" spans="1:12" ht="15" customHeight="1" x14ac:dyDescent="0.2">
      <c r="A24" s="30"/>
      <c r="D24" s="17"/>
      <c r="F24" s="31"/>
      <c r="G24" s="120"/>
      <c r="H24" s="121"/>
      <c r="I24" s="121"/>
      <c r="J24" s="121"/>
      <c r="K24" s="121"/>
      <c r="L24" s="121"/>
    </row>
    <row r="25" spans="1:12" ht="15" customHeight="1" thickBot="1" x14ac:dyDescent="0.3">
      <c r="A25" s="30"/>
      <c r="B25" s="21" t="s">
        <v>90</v>
      </c>
      <c r="C25" s="2" t="s">
        <v>17</v>
      </c>
      <c r="D25" s="7">
        <f>D22*D23</f>
        <v>0</v>
      </c>
      <c r="F25" s="31"/>
    </row>
    <row r="26" spans="1:12" ht="15" customHeight="1" x14ac:dyDescent="0.2">
      <c r="A26" s="32"/>
      <c r="B26" s="33"/>
      <c r="C26" s="34"/>
      <c r="D26" s="44"/>
      <c r="E26" s="36"/>
      <c r="F26" s="37"/>
    </row>
    <row r="27" spans="1:12" ht="15" customHeight="1" x14ac:dyDescent="0.2">
      <c r="A27" s="25"/>
      <c r="B27" s="26" t="s">
        <v>10</v>
      </c>
      <c r="C27" s="27"/>
      <c r="D27" s="45"/>
      <c r="E27" s="28"/>
      <c r="F27" s="29"/>
    </row>
    <row r="28" spans="1:12" ht="15" customHeight="1" x14ac:dyDescent="0.2">
      <c r="A28" s="30"/>
      <c r="C28" s="1" t="s">
        <v>23</v>
      </c>
      <c r="D28" s="46">
        <v>5793</v>
      </c>
      <c r="F28" s="31"/>
      <c r="G28" s="1" t="s">
        <v>180</v>
      </c>
    </row>
    <row r="29" spans="1:12" ht="15" customHeight="1" x14ac:dyDescent="0.25">
      <c r="A29" s="30"/>
      <c r="C29" s="1" t="s">
        <v>122</v>
      </c>
      <c r="D29" s="39">
        <f>VLOOKUP($D$7,'Lookup Tables'!$G$28:$I$35,2)</f>
        <v>1</v>
      </c>
      <c r="F29" s="31"/>
      <c r="H29" s="16"/>
      <c r="I29" s="86"/>
    </row>
    <row r="30" spans="1:12" ht="15" customHeight="1" thickBot="1" x14ac:dyDescent="0.3">
      <c r="A30" s="30"/>
      <c r="B30" s="21" t="s">
        <v>91</v>
      </c>
      <c r="C30" s="2" t="s">
        <v>12</v>
      </c>
      <c r="D30" s="7">
        <f>ROUND(D28*D29,2)</f>
        <v>5793</v>
      </c>
      <c r="F30" s="31"/>
    </row>
    <row r="31" spans="1:12" ht="15" customHeight="1" x14ac:dyDescent="0.25">
      <c r="A31" s="30"/>
      <c r="D31" s="17"/>
      <c r="F31" s="31"/>
      <c r="H31"/>
      <c r="I31"/>
    </row>
    <row r="32" spans="1:12" ht="25.5" customHeight="1" x14ac:dyDescent="0.25">
      <c r="A32" s="30"/>
      <c r="C32" s="75" t="s">
        <v>111</v>
      </c>
      <c r="D32" s="10" t="s">
        <v>21</v>
      </c>
      <c r="F32" s="31"/>
      <c r="G32" s="1" t="s">
        <v>163</v>
      </c>
      <c r="H32"/>
      <c r="I32"/>
    </row>
    <row r="33" spans="1:9" ht="15" customHeight="1" x14ac:dyDescent="0.25">
      <c r="A33" s="30"/>
      <c r="C33" s="1" t="s">
        <v>21</v>
      </c>
      <c r="D33" s="47">
        <f>VLOOKUP($D$7,'Lookup Tables'!$G$28:$I$35,3)</f>
        <v>1217.18</v>
      </c>
      <c r="F33" s="31"/>
      <c r="H33"/>
      <c r="I33"/>
    </row>
    <row r="34" spans="1:9" ht="15" customHeight="1" x14ac:dyDescent="0.25">
      <c r="A34" s="30"/>
      <c r="C34" s="1" t="s">
        <v>19</v>
      </c>
      <c r="D34" s="47">
        <f>VLOOKUP($D$7,'Lookup Tables'!$G$28:$I$35,3)</f>
        <v>1217.18</v>
      </c>
      <c r="F34" s="31"/>
      <c r="H34"/>
      <c r="I34"/>
    </row>
    <row r="35" spans="1:9" ht="15" customHeight="1" x14ac:dyDescent="0.25">
      <c r="A35" s="30"/>
      <c r="C35" s="1" t="s">
        <v>22</v>
      </c>
      <c r="D35" s="47">
        <f>VLOOKUP($D$7,'Lookup Tables'!$G$28:$I$35,3)</f>
        <v>1217.18</v>
      </c>
      <c r="E35" s="3" t="s">
        <v>130</v>
      </c>
      <c r="F35" s="31"/>
      <c r="H35"/>
      <c r="I35"/>
    </row>
    <row r="36" spans="1:9" ht="15" customHeight="1" x14ac:dyDescent="0.25">
      <c r="A36" s="30"/>
      <c r="C36" s="1" t="s">
        <v>20</v>
      </c>
      <c r="D36" s="47">
        <f>VLOOKUP($D$7,'Lookup Tables'!$G$28:$I$35,3)</f>
        <v>1217.18</v>
      </c>
      <c r="E36" s="3" t="s">
        <v>130</v>
      </c>
      <c r="F36" s="31"/>
      <c r="H36"/>
      <c r="I36"/>
    </row>
    <row r="37" spans="1:9" ht="15" customHeight="1" x14ac:dyDescent="0.2">
      <c r="A37" s="30"/>
      <c r="B37" s="166" t="s">
        <v>92</v>
      </c>
      <c r="D37" s="47"/>
      <c r="F37" s="31"/>
      <c r="H37" s="4"/>
      <c r="I37" s="4"/>
    </row>
    <row r="38" spans="1:9" ht="15" customHeight="1" thickBot="1" x14ac:dyDescent="0.3">
      <c r="A38" s="30"/>
      <c r="B38" s="166"/>
      <c r="C38" s="2" t="s">
        <v>13</v>
      </c>
      <c r="D38" s="7">
        <f>IF(D32=C33,D33,IF(D32=C34,D34,IF(D32=C35,D35,IF(D32=C36,D36,0))))</f>
        <v>1217.18</v>
      </c>
      <c r="F38" s="31"/>
      <c r="H38" s="4"/>
      <c r="I38" s="4"/>
    </row>
    <row r="39" spans="1:9" ht="15" customHeight="1" x14ac:dyDescent="0.2">
      <c r="A39" s="32"/>
      <c r="B39" s="48"/>
      <c r="C39" s="34"/>
      <c r="D39" s="49"/>
      <c r="E39" s="36"/>
      <c r="F39" s="37"/>
      <c r="H39" s="5"/>
      <c r="I39" s="5"/>
    </row>
    <row r="40" spans="1:9" ht="15" customHeight="1" x14ac:dyDescent="0.2">
      <c r="A40" s="25"/>
      <c r="B40" s="26" t="s">
        <v>126</v>
      </c>
      <c r="C40" s="27"/>
      <c r="D40" s="50"/>
      <c r="E40" s="28"/>
      <c r="F40" s="29"/>
      <c r="H40" s="5"/>
      <c r="I40" s="5"/>
    </row>
    <row r="41" spans="1:9" ht="15" customHeight="1" x14ac:dyDescent="0.25">
      <c r="A41" s="30"/>
      <c r="C41" s="1" t="s">
        <v>76</v>
      </c>
      <c r="D41" s="122" t="s">
        <v>156</v>
      </c>
      <c r="E41" s="122" t="s">
        <v>174</v>
      </c>
      <c r="F41" s="123" t="s">
        <v>174</v>
      </c>
      <c r="G41" s="1" t="s">
        <v>171</v>
      </c>
      <c r="H41" s="87"/>
      <c r="I41" s="5"/>
    </row>
    <row r="42" spans="1:9" ht="15" customHeight="1" x14ac:dyDescent="0.2">
      <c r="A42" s="30"/>
      <c r="C42" s="1" t="s">
        <v>77</v>
      </c>
      <c r="D42" s="124" t="str">
        <f>VLOOKUP(D41,'Lookup Tables'!$M$6:$N$68,2,FALSE)</f>
        <v>1000 ft2 Gross Floor Area</v>
      </c>
      <c r="E42" s="124" t="str">
        <f>VLOOKUP(E41,'Lookup Tables'!$M$6:$N$68,2,FALSE)</f>
        <v>-</v>
      </c>
      <c r="F42" s="125" t="str">
        <f>VLOOKUP(F41,'Lookup Tables'!$M$6:$N$68,2,FALSE)</f>
        <v>-</v>
      </c>
      <c r="H42" s="87"/>
      <c r="I42" s="5"/>
    </row>
    <row r="43" spans="1:9" ht="15" customHeight="1" x14ac:dyDescent="0.25">
      <c r="A43" s="30"/>
      <c r="C43" s="1" t="s">
        <v>79</v>
      </c>
      <c r="D43" s="11">
        <f>VLOOKUP(D41,'Lookup Tables'!$M$6:$R$68,6,FALSE)</f>
        <v>16770</v>
      </c>
      <c r="E43" s="11">
        <f>VLOOKUP(E41,'Lookup Tables'!$M$6:$R$68,6,FALSE)</f>
        <v>0</v>
      </c>
      <c r="F43" s="126">
        <f>VLOOKUP(F41,'Lookup Tables'!$M$6:$R$68,6,FALSE)</f>
        <v>0</v>
      </c>
      <c r="G43" s="1" t="s">
        <v>150</v>
      </c>
      <c r="H43" s="87"/>
      <c r="I43" s="5"/>
    </row>
    <row r="44" spans="1:9" ht="15" customHeight="1" x14ac:dyDescent="0.25">
      <c r="A44" s="30"/>
      <c r="C44" s="1" t="s">
        <v>78</v>
      </c>
      <c r="D44" s="127">
        <v>0</v>
      </c>
      <c r="E44" s="127">
        <v>0</v>
      </c>
      <c r="F44" s="128">
        <v>0</v>
      </c>
      <c r="H44" s="5"/>
      <c r="I44" s="5"/>
    </row>
    <row r="45" spans="1:9" ht="15" customHeight="1" x14ac:dyDescent="0.2">
      <c r="A45" s="30"/>
      <c r="B45" s="129"/>
      <c r="D45" s="47"/>
      <c r="E45" s="47"/>
      <c r="F45" s="54"/>
      <c r="H45" s="5"/>
      <c r="I45" s="5"/>
    </row>
    <row r="46" spans="1:9" ht="15" customHeight="1" x14ac:dyDescent="0.25">
      <c r="A46" s="30"/>
      <c r="D46" s="39"/>
      <c r="E46" s="39"/>
      <c r="F46" s="130"/>
      <c r="H46" s="5"/>
      <c r="I46" s="5"/>
    </row>
    <row r="47" spans="1:9" ht="15" customHeight="1" x14ac:dyDescent="0.2">
      <c r="A47" s="30"/>
      <c r="B47" s="21"/>
      <c r="C47" s="1" t="s">
        <v>125</v>
      </c>
      <c r="D47" s="131">
        <f>ROUND(D43*D44,1)</f>
        <v>0</v>
      </c>
      <c r="E47" s="131">
        <f>ROUND(E43*E44,1)</f>
        <v>0</v>
      </c>
      <c r="F47" s="132">
        <f>ROUND(F43*F44,1)</f>
        <v>0</v>
      </c>
      <c r="H47" s="5"/>
      <c r="I47" s="5"/>
    </row>
    <row r="48" spans="1:9" ht="15" customHeight="1" x14ac:dyDescent="0.25">
      <c r="A48" s="32"/>
      <c r="B48" s="133" t="s">
        <v>93</v>
      </c>
      <c r="C48" s="34" t="s">
        <v>8</v>
      </c>
      <c r="D48" s="134">
        <f>SUM(D47:F47)</f>
        <v>0</v>
      </c>
      <c r="E48" s="36"/>
      <c r="F48" s="37"/>
      <c r="H48" s="5"/>
      <c r="I48" s="5"/>
    </row>
    <row r="49" spans="1:9" ht="15" customHeight="1" x14ac:dyDescent="0.2">
      <c r="A49" s="30"/>
      <c r="B49" s="2" t="s">
        <v>26</v>
      </c>
      <c r="D49" s="17"/>
      <c r="F49" s="31"/>
      <c r="H49" s="5"/>
      <c r="I49" s="5"/>
    </row>
    <row r="50" spans="1:9" ht="15" customHeight="1" x14ac:dyDescent="0.25">
      <c r="A50" s="30"/>
      <c r="B50" s="165" t="s">
        <v>25</v>
      </c>
      <c r="C50" s="1" t="s">
        <v>28</v>
      </c>
      <c r="D50" s="51" t="s">
        <v>29</v>
      </c>
      <c r="F50" s="31"/>
      <c r="H50" s="5"/>
      <c r="I50" s="5"/>
    </row>
    <row r="51" spans="1:9" ht="15" customHeight="1" x14ac:dyDescent="0.2">
      <c r="A51" s="30"/>
      <c r="B51" s="165"/>
      <c r="C51" s="1" t="s">
        <v>30</v>
      </c>
      <c r="D51" s="52">
        <f>D9</f>
        <v>0</v>
      </c>
      <c r="F51" s="31"/>
      <c r="H51" s="5"/>
      <c r="I51" s="5"/>
    </row>
    <row r="52" spans="1:9" ht="15" customHeight="1" x14ac:dyDescent="0.2">
      <c r="A52" s="30"/>
      <c r="C52" s="1" t="s">
        <v>27</v>
      </c>
      <c r="D52" s="47">
        <v>2585</v>
      </c>
      <c r="E52" s="40"/>
      <c r="F52" s="31"/>
      <c r="G52" s="1" t="s">
        <v>165</v>
      </c>
      <c r="H52" s="5"/>
      <c r="I52" s="5"/>
    </row>
    <row r="53" spans="1:9" ht="15" customHeight="1" x14ac:dyDescent="0.2">
      <c r="A53" s="30"/>
      <c r="D53" s="47"/>
      <c r="E53" s="40"/>
      <c r="F53" s="31"/>
      <c r="H53" s="5"/>
      <c r="I53" s="5"/>
    </row>
    <row r="54" spans="1:9" ht="15" customHeight="1" thickBot="1" x14ac:dyDescent="0.3">
      <c r="A54" s="30"/>
      <c r="B54" s="21" t="s">
        <v>94</v>
      </c>
      <c r="C54" s="2" t="s">
        <v>98</v>
      </c>
      <c r="D54" s="7">
        <f>IF(D50="yes",0,D51*D52)</f>
        <v>0</v>
      </c>
      <c r="F54" s="31"/>
      <c r="H54" s="5"/>
      <c r="I54" s="5"/>
    </row>
    <row r="55" spans="1:9" ht="15" customHeight="1" x14ac:dyDescent="0.25">
      <c r="A55" s="32"/>
      <c r="B55" s="33"/>
      <c r="C55" s="33"/>
      <c r="D55" s="53"/>
      <c r="E55" s="36"/>
      <c r="F55" s="37"/>
      <c r="H55" s="5"/>
      <c r="I55" s="5"/>
    </row>
    <row r="56" spans="1:9" ht="15" customHeight="1" x14ac:dyDescent="0.2">
      <c r="A56" s="25"/>
      <c r="B56" s="26" t="s">
        <v>9</v>
      </c>
      <c r="C56" s="27"/>
      <c r="D56" s="45"/>
      <c r="E56" s="28"/>
      <c r="F56" s="29"/>
      <c r="H56" s="5"/>
      <c r="I56" s="5"/>
    </row>
    <row r="57" spans="1:9" ht="15" customHeight="1" x14ac:dyDescent="0.2">
      <c r="A57" s="30"/>
      <c r="C57" s="1" t="s">
        <v>97</v>
      </c>
      <c r="D57" s="47">
        <v>0.63</v>
      </c>
      <c r="F57" s="31"/>
      <c r="G57" s="1" t="s">
        <v>102</v>
      </c>
      <c r="H57" s="5"/>
      <c r="I57" s="5"/>
    </row>
    <row r="58" spans="1:9" ht="15" customHeight="1" x14ac:dyDescent="0.2">
      <c r="A58" s="30"/>
      <c r="E58" s="170"/>
      <c r="F58" s="31"/>
      <c r="H58" s="5"/>
      <c r="I58" s="5"/>
    </row>
    <row r="59" spans="1:9" ht="15" customHeight="1" thickBot="1" x14ac:dyDescent="0.3">
      <c r="A59" s="30"/>
      <c r="B59" s="21" t="s">
        <v>95</v>
      </c>
      <c r="C59" s="2" t="s">
        <v>14</v>
      </c>
      <c r="D59" s="7">
        <f>ROUND(D57*D10,1)</f>
        <v>0</v>
      </c>
      <c r="E59" s="170"/>
      <c r="F59" s="54"/>
    </row>
    <row r="60" spans="1:9" ht="15" customHeight="1" x14ac:dyDescent="0.2">
      <c r="A60" s="32"/>
      <c r="B60" s="33"/>
      <c r="C60" s="34"/>
      <c r="D60" s="34"/>
      <c r="E60" s="55"/>
      <c r="F60" s="37"/>
    </row>
    <row r="61" spans="1:9" ht="15" customHeight="1" x14ac:dyDescent="0.2">
      <c r="A61" s="25"/>
      <c r="B61" s="26"/>
      <c r="C61" s="27"/>
      <c r="D61" s="27"/>
      <c r="E61" s="56"/>
      <c r="F61" s="57"/>
    </row>
    <row r="62" spans="1:9" ht="15" customHeight="1" x14ac:dyDescent="0.25">
      <c r="A62" s="30"/>
      <c r="B62" s="21"/>
      <c r="C62" s="2"/>
      <c r="D62" s="8"/>
      <c r="E62" s="22"/>
      <c r="F62" s="31"/>
    </row>
    <row r="63" spans="1:9" ht="15" customHeight="1" x14ac:dyDescent="0.2">
      <c r="A63" s="30"/>
      <c r="D63" s="17"/>
      <c r="F63" s="31"/>
    </row>
    <row r="64" spans="1:9" ht="15" customHeight="1" thickBot="1" x14ac:dyDescent="0.3">
      <c r="A64" s="30"/>
      <c r="C64" s="58" t="s">
        <v>16</v>
      </c>
      <c r="D64" s="7">
        <f>D19+D25+D30+D38+D48+D54+D59</f>
        <v>9293.18</v>
      </c>
      <c r="F64" s="31"/>
    </row>
    <row r="65" spans="1:7" ht="15" customHeight="1" x14ac:dyDescent="0.2">
      <c r="A65" s="30"/>
      <c r="D65" s="17"/>
      <c r="F65" s="31"/>
    </row>
    <row r="66" spans="1:7" ht="15" customHeight="1" x14ac:dyDescent="0.2">
      <c r="A66" s="32"/>
      <c r="B66" s="33"/>
      <c r="C66" s="34"/>
      <c r="D66" s="44"/>
      <c r="E66" s="36"/>
      <c r="F66" s="37"/>
    </row>
    <row r="67" spans="1:7" ht="31.5" customHeight="1" x14ac:dyDescent="0.2">
      <c r="A67" s="30"/>
      <c r="B67" s="2" t="s">
        <v>116</v>
      </c>
      <c r="C67" s="79"/>
      <c r="D67" s="17"/>
      <c r="F67" s="31"/>
    </row>
    <row r="68" spans="1:7" ht="36" customHeight="1" x14ac:dyDescent="0.2">
      <c r="A68" s="30"/>
      <c r="C68" s="79" t="s">
        <v>161</v>
      </c>
      <c r="D68" s="78">
        <f>VLOOKUP(D7,'Lookup Tables'!G16:H23,2)</f>
        <v>1</v>
      </c>
      <c r="F68" s="31"/>
    </row>
    <row r="69" spans="1:7" ht="15" customHeight="1" x14ac:dyDescent="0.2">
      <c r="A69" s="30"/>
      <c r="C69" s="1" t="s">
        <v>0</v>
      </c>
      <c r="D69" s="78">
        <v>0.3</v>
      </c>
      <c r="E69" s="19" t="s">
        <v>3</v>
      </c>
      <c r="F69" s="31"/>
    </row>
    <row r="70" spans="1:7" ht="15" customHeight="1" thickBot="1" x14ac:dyDescent="0.3">
      <c r="A70" s="30"/>
      <c r="C70" s="2" t="s">
        <v>84</v>
      </c>
      <c r="D70" s="77">
        <f>ROUND(D68*D69,2)</f>
        <v>0.3</v>
      </c>
      <c r="E70" s="19" t="s">
        <v>3</v>
      </c>
      <c r="F70" s="31"/>
    </row>
    <row r="71" spans="1:7" ht="15" customHeight="1" x14ac:dyDescent="0.25">
      <c r="A71" s="32"/>
      <c r="B71" s="33"/>
      <c r="C71" s="33"/>
      <c r="D71" s="59"/>
      <c r="E71" s="60"/>
      <c r="F71" s="37"/>
    </row>
    <row r="72" spans="1:7" ht="29.25" customHeight="1" x14ac:dyDescent="0.2">
      <c r="A72" s="25"/>
      <c r="B72" s="76" t="s">
        <v>87</v>
      </c>
      <c r="C72" s="79"/>
      <c r="D72" s="80"/>
      <c r="E72" s="81"/>
      <c r="F72" s="167" t="str">
        <f>IF(D6=TRUE,"","Transfer the water rights certified by the State Engineer's Office and accepted by the City Attorney prior to Building Permit")</f>
        <v/>
      </c>
    </row>
    <row r="73" spans="1:7" ht="36.75" customHeight="1" x14ac:dyDescent="0.2">
      <c r="A73" s="30"/>
      <c r="B73" s="74"/>
      <c r="C73" s="79" t="s">
        <v>162</v>
      </c>
      <c r="D73" s="83">
        <f>VLOOKUP(D7,'Lookup Tables'!G16:H23,2)</f>
        <v>1</v>
      </c>
      <c r="E73" s="19"/>
      <c r="F73" s="168"/>
    </row>
    <row r="74" spans="1:7" ht="15" customHeight="1" x14ac:dyDescent="0.2">
      <c r="A74" s="30"/>
      <c r="C74" s="1" t="s">
        <v>0</v>
      </c>
      <c r="D74" s="78">
        <v>0.3</v>
      </c>
      <c r="E74" s="19" t="s">
        <v>3</v>
      </c>
      <c r="F74" s="168"/>
    </row>
    <row r="75" spans="1:7" ht="15" customHeight="1" thickBot="1" x14ac:dyDescent="0.3">
      <c r="A75" s="30"/>
      <c r="C75" s="2" t="s">
        <v>84</v>
      </c>
      <c r="D75" s="77">
        <f>ROUND(D73*D74,2)</f>
        <v>0.3</v>
      </c>
      <c r="E75" s="19" t="s">
        <v>3</v>
      </c>
      <c r="F75" s="168"/>
    </row>
    <row r="76" spans="1:7" ht="15" customHeight="1" x14ac:dyDescent="0.2">
      <c r="A76" s="30"/>
      <c r="D76" s="17"/>
      <c r="F76" s="168"/>
    </row>
    <row r="77" spans="1:7" ht="15" customHeight="1" x14ac:dyDescent="0.2">
      <c r="A77" s="30"/>
      <c r="C77" s="1" t="s">
        <v>88</v>
      </c>
      <c r="D77" s="23">
        <v>18274</v>
      </c>
      <c r="E77" s="19"/>
      <c r="F77" s="31"/>
      <c r="G77" s="1" t="s">
        <v>164</v>
      </c>
    </row>
    <row r="78" spans="1:7" ht="15" customHeight="1" thickBot="1" x14ac:dyDescent="0.3">
      <c r="A78" s="30"/>
      <c r="B78" s="21" t="s">
        <v>96</v>
      </c>
      <c r="C78" s="2" t="s">
        <v>85</v>
      </c>
      <c r="D78" s="7">
        <f>IF(D6=TRUE,D75*D77,0)</f>
        <v>5482.2</v>
      </c>
      <c r="E78" s="19"/>
      <c r="F78" s="31"/>
      <c r="G78" s="1" t="s">
        <v>128</v>
      </c>
    </row>
    <row r="79" spans="1:7" ht="15" customHeight="1" x14ac:dyDescent="0.2">
      <c r="A79" s="32"/>
      <c r="B79" s="33"/>
      <c r="C79" s="34"/>
      <c r="D79" s="49"/>
      <c r="E79" s="36"/>
      <c r="F79" s="37"/>
    </row>
    <row r="80" spans="1:7" ht="15" customHeight="1" x14ac:dyDescent="0.2">
      <c r="A80" s="25"/>
      <c r="B80" s="26" t="s">
        <v>5</v>
      </c>
      <c r="C80" s="27"/>
      <c r="D80" s="45"/>
      <c r="E80" s="28"/>
      <c r="F80" s="29"/>
    </row>
    <row r="81" spans="1:10" ht="15" customHeight="1" x14ac:dyDescent="0.2">
      <c r="A81" s="30"/>
      <c r="C81" s="1" t="s">
        <v>2</v>
      </c>
      <c r="D81" s="17">
        <v>3.13</v>
      </c>
      <c r="E81" s="19" t="s">
        <v>3</v>
      </c>
      <c r="F81" s="31"/>
    </row>
    <row r="82" spans="1:10" ht="15" customHeight="1" thickBot="1" x14ac:dyDescent="0.3">
      <c r="A82" s="30"/>
      <c r="C82" s="2" t="s">
        <v>7</v>
      </c>
      <c r="D82" s="77">
        <f>ROUND(D8*D81,2)</f>
        <v>0</v>
      </c>
      <c r="E82" s="19" t="s">
        <v>3</v>
      </c>
      <c r="F82" s="31"/>
      <c r="J82" s="6"/>
    </row>
    <row r="83" spans="1:10" ht="15" customHeight="1" x14ac:dyDescent="0.2">
      <c r="A83" s="30"/>
      <c r="D83" s="17"/>
      <c r="F83" s="31"/>
    </row>
    <row r="84" spans="1:10" ht="15" customHeight="1" x14ac:dyDescent="0.2">
      <c r="A84" s="30"/>
      <c r="C84" s="1" t="s">
        <v>1</v>
      </c>
      <c r="D84" s="46">
        <f>10999/3.13</f>
        <v>3514.0575079872206</v>
      </c>
      <c r="E84" s="135"/>
      <c r="F84" s="136"/>
      <c r="G84" s="1" t="s">
        <v>177</v>
      </c>
    </row>
    <row r="85" spans="1:10" ht="15" customHeight="1" thickBot="1" x14ac:dyDescent="0.3">
      <c r="A85" s="30"/>
      <c r="B85" s="21" t="s">
        <v>179</v>
      </c>
      <c r="C85" s="2" t="s">
        <v>4</v>
      </c>
      <c r="D85" s="137">
        <f>D82*D84</f>
        <v>0</v>
      </c>
      <c r="E85" s="135"/>
      <c r="F85" s="136"/>
    </row>
    <row r="86" spans="1:10" ht="15" customHeight="1" x14ac:dyDescent="0.2">
      <c r="A86" s="32"/>
      <c r="B86" s="33"/>
      <c r="C86" s="34"/>
      <c r="D86" s="44"/>
      <c r="E86" s="36"/>
      <c r="F86" s="37"/>
    </row>
    <row r="87" spans="1:10" ht="15" customHeight="1" x14ac:dyDescent="0.25">
      <c r="A87" s="25"/>
      <c r="B87" s="26"/>
      <c r="C87" s="26"/>
      <c r="D87" s="24"/>
      <c r="E87" s="61"/>
      <c r="F87" s="29"/>
    </row>
    <row r="88" spans="1:10" ht="15" customHeight="1" x14ac:dyDescent="0.2">
      <c r="A88" s="30"/>
      <c r="D88" s="17"/>
      <c r="F88" s="31"/>
    </row>
    <row r="89" spans="1:10" ht="15" customHeight="1" x14ac:dyDescent="0.2">
      <c r="A89" s="30"/>
      <c r="D89" s="17"/>
      <c r="F89" s="31"/>
    </row>
    <row r="90" spans="1:10" ht="15" customHeight="1" thickBot="1" x14ac:dyDescent="0.3">
      <c r="A90" s="30"/>
      <c r="C90" s="58" t="s">
        <v>6</v>
      </c>
      <c r="D90" s="77">
        <f>D70+D82</f>
        <v>0.3</v>
      </c>
      <c r="E90" s="19" t="s">
        <v>3</v>
      </c>
      <c r="F90" s="31"/>
    </row>
    <row r="91" spans="1:10" ht="15" customHeight="1" x14ac:dyDescent="0.25">
      <c r="A91" s="32"/>
      <c r="B91" s="33"/>
      <c r="C91" s="62"/>
      <c r="D91" s="53"/>
      <c r="E91" s="36"/>
      <c r="F91" s="37"/>
    </row>
    <row r="92" spans="1:10" ht="15" customHeight="1" x14ac:dyDescent="0.2">
      <c r="A92" s="25"/>
      <c r="B92" s="26"/>
      <c r="C92" s="27"/>
      <c r="D92" s="45"/>
      <c r="E92" s="28"/>
      <c r="F92" s="29"/>
    </row>
    <row r="93" spans="1:10" ht="15" customHeight="1" thickBot="1" x14ac:dyDescent="0.3">
      <c r="A93" s="30"/>
      <c r="B93" s="169" t="str">
        <f>IF(D6=TRUE,"Grand Total impact Fees and Water Rights","Grand Total impact Fees and Water Rights - Additional Water Rights are Required prior to Building Permit see above")</f>
        <v>Grand Total impact Fees and Water Rights</v>
      </c>
      <c r="C93" s="169"/>
      <c r="D93" s="9">
        <f>D64+D78+D85</f>
        <v>14775.380000000001</v>
      </c>
      <c r="E93" s="63"/>
      <c r="F93" s="163" t="s">
        <v>24</v>
      </c>
    </row>
    <row r="94" spans="1:10" ht="15" customHeight="1" x14ac:dyDescent="0.2">
      <c r="A94" s="30"/>
      <c r="B94" s="169"/>
      <c r="C94" s="169"/>
      <c r="D94" s="17"/>
      <c r="F94" s="164"/>
    </row>
    <row r="95" spans="1:10" ht="15" customHeight="1" x14ac:dyDescent="0.2">
      <c r="A95" s="32"/>
      <c r="B95" s="33"/>
      <c r="C95" s="34"/>
      <c r="D95" s="34"/>
      <c r="E95" s="36"/>
      <c r="F95" s="37"/>
    </row>
    <row r="96" spans="1:10" ht="15" customHeight="1" x14ac:dyDescent="0.2"/>
    <row r="97" spans="14:16" ht="15" customHeight="1" x14ac:dyDescent="0.2"/>
    <row r="98" spans="14:16" ht="15" customHeight="1" x14ac:dyDescent="0.2"/>
    <row r="99" spans="14:16" ht="15" customHeight="1" x14ac:dyDescent="0.2">
      <c r="N99" s="158"/>
      <c r="O99" s="158"/>
      <c r="P99" s="158"/>
    </row>
    <row r="100" spans="14:16" ht="15" customHeight="1" x14ac:dyDescent="0.2">
      <c r="N100" s="158"/>
      <c r="O100" s="158"/>
      <c r="P100" s="158"/>
    </row>
    <row r="101" spans="14:16" ht="15" customHeight="1" x14ac:dyDescent="0.2">
      <c r="N101" s="73"/>
      <c r="O101" s="21"/>
      <c r="P101" s="21"/>
    </row>
    <row r="102" spans="14:16" ht="15" customHeight="1" x14ac:dyDescent="0.2">
      <c r="O102" s="64"/>
    </row>
    <row r="103" spans="14:16" ht="15" customHeight="1" x14ac:dyDescent="0.2">
      <c r="O103" s="64"/>
    </row>
    <row r="104" spans="14:16" ht="15" customHeight="1" x14ac:dyDescent="0.2">
      <c r="O104" s="64"/>
    </row>
    <row r="105" spans="14:16" ht="15" customHeight="1" x14ac:dyDescent="0.2">
      <c r="O105" s="64"/>
    </row>
    <row r="106" spans="14:16" ht="15" customHeight="1" x14ac:dyDescent="0.2">
      <c r="O106" s="64"/>
    </row>
    <row r="107" spans="14:16" x14ac:dyDescent="0.2">
      <c r="O107" s="64"/>
    </row>
    <row r="108" spans="14:16" x14ac:dyDescent="0.2">
      <c r="O108" s="64"/>
    </row>
    <row r="109" spans="14:16" x14ac:dyDescent="0.2">
      <c r="O109" s="64"/>
    </row>
  </sheetData>
  <mergeCells count="11">
    <mergeCell ref="A4:F4"/>
    <mergeCell ref="N99:P100"/>
    <mergeCell ref="B1:E1"/>
    <mergeCell ref="B3:E3"/>
    <mergeCell ref="F93:F94"/>
    <mergeCell ref="B50:B51"/>
    <mergeCell ref="B37:B38"/>
    <mergeCell ref="F72:F76"/>
    <mergeCell ref="B93:C94"/>
    <mergeCell ref="E58:E59"/>
    <mergeCell ref="B2:E2"/>
  </mergeCells>
  <conditionalFormatting sqref="B6">
    <cfRule type="cellIs" dxfId="1" priority="1" operator="equal">
      <formula>"GL # 58-3891-150"</formula>
    </cfRule>
    <cfRule type="cellIs" dxfId="0" priority="2" operator="equal">
      <formula>"GL # 58-3891-155"</formula>
    </cfRule>
  </conditionalFormatting>
  <dataValidations count="3">
    <dataValidation type="list" showInputMessage="1" showErrorMessage="1" sqref="D32" xr:uid="{00000000-0002-0000-0100-000000000000}">
      <formula1>$C$33:$C$37</formula1>
    </dataValidation>
    <dataValidation type="list" allowBlank="1" showInputMessage="1" showErrorMessage="1" sqref="D6" xr:uid="{00000000-0002-0000-0100-000001000000}">
      <formula1>"TRUE, FALSE"</formula1>
    </dataValidation>
    <dataValidation type="list" allowBlank="1" showInputMessage="1" showErrorMessage="1" sqref="B2:E2" xr:uid="{00000000-0002-0000-0100-000002000000}">
      <formula1>"Shell Building + Tenant Improvement, Shell Building Only, Tenant Improvement Only,-"</formula1>
    </dataValidation>
  </dataValidations>
  <pageMargins left="0.7" right="0.7" top="0.75" bottom="0.75" header="0.3" footer="0.3"/>
  <pageSetup paperSize="3" scale="3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'Lookup Tables'!$D$5:$D$15</xm:f>
          </x14:formula1>
          <xm:sqref>D16</xm:sqref>
        </x14:dataValidation>
        <x14:dataValidation type="list" allowBlank="1" showInputMessage="1" showErrorMessage="1" xr:uid="{00000000-0002-0000-0100-000004000000}">
          <x14:formula1>
            <xm:f>'Lookup Tables'!$G$4:$G$11</xm:f>
          </x14:formula1>
          <xm:sqref>D7</xm:sqref>
        </x14:dataValidation>
        <x14:dataValidation type="list" allowBlank="1" showInputMessage="1" showErrorMessage="1" xr:uid="{00000000-0002-0000-0100-000005000000}">
          <x14:formula1>
            <xm:f>'Lookup Tables'!$M$6:$M$55</xm:f>
          </x14:formula1>
          <xm:sqref>D41:F41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C6" sqref="C6"/>
    </sheetView>
  </sheetViews>
  <sheetFormatPr defaultRowHeight="15" x14ac:dyDescent="0.25"/>
  <cols>
    <col min="1" max="7" width="9.140625" customWidth="1"/>
  </cols>
  <sheetData>
    <row r="2" spans="1:1" x14ac:dyDescent="0.25">
      <c r="A2" s="113"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Lookup Tables</vt:lpstr>
      <vt:lpstr>Building X</vt:lpstr>
      <vt:lpstr>Create Copy of Bld X </vt:lpstr>
      <vt:lpstr>'Building X'!Print_Area</vt:lpstr>
    </vt:vector>
  </TitlesOfParts>
  <Company>Westates Construction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Janelle Wright</dc:creator>
  <cp:lastModifiedBy>Daniel McRae</cp:lastModifiedBy>
  <cp:lastPrinted>2025-06-05T15:10:01Z</cp:lastPrinted>
  <dcterms:created xsi:type="dcterms:W3CDTF">2008-02-25T23:50:44Z</dcterms:created>
  <dcterms:modified xsi:type="dcterms:W3CDTF">2026-01-02T18:45:44Z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aderaFileType">
    <vt:lpwstr/>
  </property>
</Properties>
</file>