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S:\Engineering\Water Recordation Fees\"/>
    </mc:Choice>
  </mc:AlternateContent>
  <xr:revisionPtr revIDLastSave="0" documentId="13_ncr:1_{DFF3894A-EBA7-4C30-846A-350CDFBA8BBF}" xr6:coauthVersionLast="47" xr6:coauthVersionMax="47" xr10:uidLastSave="{00000000-0000-0000-0000-000000000000}"/>
  <bookViews>
    <workbookView xWindow="-28920" yWindow="-870" windowWidth="29040" windowHeight="15720" xr2:uid="{00000000-000D-0000-FFFF-FFFF00000000}"/>
  </bookViews>
  <sheets>
    <sheet name="Residential Water Fees @ Record" sheetId="5" r:id="rId1"/>
    <sheet name="Irrigable Acerage Calc's" sheetId="6" r:id="rId2"/>
    <sheet name="SID (If Applicable)" sheetId="7" r:id="rId3"/>
  </sheets>
  <definedNames>
    <definedName name="_xlnm.Print_Area" localSheetId="1">'Irrigable Acerage Calc''s'!$A$1:$H$89</definedName>
    <definedName name="_xlnm.Print_Area" localSheetId="0">'Residential Water Fees @ Record'!$A$1:$G$81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5" l="1"/>
  <c r="F12" i="6" l="1"/>
  <c r="D78" i="5" l="1"/>
  <c r="D45" i="5" l="1"/>
  <c r="D50" i="5" l="1"/>
  <c r="D49" i="5"/>
  <c r="F13" i="5" l="1"/>
  <c r="G7" i="7" l="1"/>
  <c r="G6" i="7"/>
  <c r="G5" i="7"/>
  <c r="G9" i="7" s="1"/>
  <c r="B2" i="7"/>
  <c r="D14" i="5" l="1"/>
  <c r="B60" i="5" l="1"/>
  <c r="D79" i="5" l="1"/>
  <c r="D19" i="5"/>
  <c r="D22" i="5" l="1"/>
  <c r="D56" i="5" s="1"/>
  <c r="D47" i="5" l="1"/>
  <c r="D39" i="5"/>
  <c r="D51" i="6"/>
  <c r="G51" i="6" s="1"/>
  <c r="D52" i="6"/>
  <c r="G52" i="6" s="1"/>
  <c r="D53" i="6"/>
  <c r="G53" i="6" s="1"/>
  <c r="D54" i="6"/>
  <c r="G54" i="6" s="1"/>
  <c r="D55" i="6"/>
  <c r="G55" i="6"/>
  <c r="D56" i="6"/>
  <c r="G56" i="6" s="1"/>
  <c r="D57" i="6"/>
  <c r="G57" i="6" s="1"/>
  <c r="D58" i="6"/>
  <c r="G58" i="6" s="1"/>
  <c r="D59" i="6"/>
  <c r="G59" i="6" s="1"/>
  <c r="D60" i="6"/>
  <c r="G60" i="6" s="1"/>
  <c r="D61" i="6"/>
  <c r="G61" i="6"/>
  <c r="D62" i="6"/>
  <c r="G62" i="6" s="1"/>
  <c r="D63" i="6"/>
  <c r="G63" i="6" s="1"/>
  <c r="D64" i="6"/>
  <c r="G64" i="6" s="1"/>
  <c r="D65" i="6"/>
  <c r="G65" i="6" s="1"/>
  <c r="D66" i="6"/>
  <c r="G66" i="6" s="1"/>
  <c r="G17" i="6"/>
  <c r="D19" i="6"/>
  <c r="G19" i="6" s="1"/>
  <c r="D20" i="6"/>
  <c r="G20" i="6" s="1"/>
  <c r="D21" i="6"/>
  <c r="G21" i="6" s="1"/>
  <c r="D22" i="6"/>
  <c r="G22" i="6" s="1"/>
  <c r="D23" i="6"/>
  <c r="G23" i="6" s="1"/>
  <c r="D24" i="6"/>
  <c r="G24" i="6" s="1"/>
  <c r="D25" i="6"/>
  <c r="G25" i="6" s="1"/>
  <c r="D26" i="6"/>
  <c r="G26" i="6" s="1"/>
  <c r="D27" i="6"/>
  <c r="G27" i="6" s="1"/>
  <c r="D28" i="6"/>
  <c r="G28" i="6" s="1"/>
  <c r="D29" i="6"/>
  <c r="G29" i="6" s="1"/>
  <c r="D30" i="6"/>
  <c r="G30" i="6" s="1"/>
  <c r="D31" i="6"/>
  <c r="G31" i="6" s="1"/>
  <c r="D32" i="6"/>
  <c r="G32" i="6" s="1"/>
  <c r="D33" i="6"/>
  <c r="G33" i="6" s="1"/>
  <c r="D34" i="6"/>
  <c r="G34" i="6" s="1"/>
  <c r="D35" i="6"/>
  <c r="G35" i="6" s="1"/>
  <c r="D36" i="6"/>
  <c r="G36" i="6" s="1"/>
  <c r="D37" i="6"/>
  <c r="G37" i="6" s="1"/>
  <c r="D38" i="6"/>
  <c r="G38" i="6" s="1"/>
  <c r="D39" i="6"/>
  <c r="G39" i="6" s="1"/>
  <c r="D40" i="6"/>
  <c r="G40" i="6"/>
  <c r="D41" i="6"/>
  <c r="G41" i="6" s="1"/>
  <c r="D42" i="6"/>
  <c r="G42" i="6" s="1"/>
  <c r="D43" i="6"/>
  <c r="G43" i="6" s="1"/>
  <c r="D44" i="6"/>
  <c r="G44" i="6" s="1"/>
  <c r="D45" i="6"/>
  <c r="G45" i="6" s="1"/>
  <c r="D46" i="6"/>
  <c r="G46" i="6" s="1"/>
  <c r="D47" i="6"/>
  <c r="G47" i="6" s="1"/>
  <c r="D48" i="6"/>
  <c r="G48" i="6"/>
  <c r="D49" i="6"/>
  <c r="G49" i="6" s="1"/>
  <c r="D50" i="6"/>
  <c r="G50" i="6" s="1"/>
  <c r="D18" i="6"/>
  <c r="G18" i="6" s="1"/>
  <c r="B18" i="6"/>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1" i="6"/>
  <c r="G83" i="6"/>
  <c r="G82" i="6"/>
  <c r="C74" i="6"/>
  <c r="G73" i="6"/>
  <c r="G72" i="6"/>
  <c r="G71" i="6"/>
  <c r="C67" i="6"/>
  <c r="C68" i="6" l="1"/>
  <c r="C12" i="6"/>
  <c r="G12" i="6" s="1"/>
  <c r="G13" i="6" s="1"/>
  <c r="G14" i="6" s="1"/>
  <c r="D42" i="5"/>
  <c r="D58" i="5" s="1"/>
  <c r="C76" i="6"/>
  <c r="D46" i="5"/>
  <c r="G74" i="6"/>
  <c r="G75" i="6" s="1"/>
  <c r="C75" i="6"/>
  <c r="G67" i="6"/>
  <c r="G68" i="6" s="1"/>
  <c r="G84" i="6"/>
  <c r="G86" i="6" s="1"/>
  <c r="C13" i="6" l="1"/>
  <c r="C14" i="6" s="1"/>
  <c r="G77" i="6"/>
  <c r="G87" i="6" s="1"/>
  <c r="D7" i="5" s="1"/>
  <c r="D32" i="5" l="1"/>
  <c r="D35" i="5" s="1"/>
  <c r="D26" i="5"/>
  <c r="D55" i="5" l="1"/>
  <c r="D29" i="5"/>
  <c r="D36" i="5"/>
  <c r="D57" i="5" l="1"/>
  <c r="D6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Sonico</author>
  </authors>
  <commentList>
    <comment ref="F12" authorId="0" shapeId="0" xr:uid="{00000000-0006-0000-0100-000001000000}">
      <text>
        <r>
          <rPr>
            <b/>
            <sz val="9"/>
            <color indexed="81"/>
            <rFont val="Tahoma"/>
            <family val="2"/>
          </rPr>
          <t>Ratio of 
Total Parkstrip width/ROW width
Typically 0.27 for local roads because 16ft parkstrip/59ft ROW   OR  0.23 for collector roads because 18ft parkstrip/77ft ROW.</t>
        </r>
      </text>
    </comment>
  </commentList>
</comments>
</file>

<file path=xl/sharedStrings.xml><?xml version="1.0" encoding="utf-8"?>
<sst xmlns="http://schemas.openxmlformats.org/spreadsheetml/2006/main" count="189" uniqueCount="145">
  <si>
    <t>General</t>
  </si>
  <si>
    <t>acres</t>
  </si>
  <si>
    <t>Number of Units (ERU's)</t>
  </si>
  <si>
    <t>Water rights required per unit</t>
  </si>
  <si>
    <t>Cost of water right per acre foot</t>
  </si>
  <si>
    <t>Per Acre SID Fee</t>
  </si>
  <si>
    <t>Culinary Portion of SID per Acre</t>
  </si>
  <si>
    <t>Secondary Portion of SID per Acre</t>
  </si>
  <si>
    <t>67% of SID Fee</t>
  </si>
  <si>
    <t>33% of SID Fee</t>
  </si>
  <si>
    <t>Total Secondary Water Fees</t>
  </si>
  <si>
    <t>(enter true or false)</t>
  </si>
  <si>
    <t>Water rights required per irrigable acre</t>
  </si>
  <si>
    <t>Acre Feet</t>
  </si>
  <si>
    <t>Total Area</t>
  </si>
  <si>
    <t>sf</t>
  </si>
  <si>
    <t>Onsite Improvements</t>
  </si>
  <si>
    <t>Streets</t>
  </si>
  <si>
    <t xml:space="preserve">Area (sf) </t>
  </si>
  <si>
    <t>Multiplier</t>
  </si>
  <si>
    <t>Irrigable Area (sf)</t>
  </si>
  <si>
    <t>Street ROW</t>
  </si>
  <si>
    <t>sub total (sf):</t>
  </si>
  <si>
    <t>sub total (acres):</t>
  </si>
  <si>
    <t>Lot</t>
  </si>
  <si>
    <t>Area (sf)</t>
  </si>
  <si>
    <t>Open Space</t>
  </si>
  <si>
    <t>Percentage of Open Space:</t>
  </si>
  <si>
    <t>Total Irrigable Area Onsite (acres):</t>
  </si>
  <si>
    <t>Offsite Improvements / Areas</t>
  </si>
  <si>
    <t>Space</t>
  </si>
  <si>
    <t>Area</t>
  </si>
  <si>
    <t>Irrigable Area (SF)</t>
  </si>
  <si>
    <t>Wetland</t>
  </si>
  <si>
    <t>Buffer Area</t>
  </si>
  <si>
    <t>Total Irrigable Area Offsite (acres):</t>
  </si>
  <si>
    <t>Irrigable Acreage</t>
  </si>
  <si>
    <t>(Total from Irrigable Acreage Spreadsheet)</t>
  </si>
  <si>
    <t>Total cost of secondary water rights</t>
  </si>
  <si>
    <t>Total Irrigable Area Onsite + Offsite:</t>
  </si>
  <si>
    <t>Secondary Water Rights</t>
  </si>
  <si>
    <t>Total Water Rights Required</t>
  </si>
  <si>
    <t>Total secondary water rights required</t>
  </si>
  <si>
    <t>Single Family</t>
  </si>
  <si>
    <t>Timpanogos Special Service District Sewer</t>
  </si>
  <si>
    <t>Public Safety</t>
  </si>
  <si>
    <t>Parks</t>
  </si>
  <si>
    <t>Total Impact Fees per Unit</t>
  </si>
  <si>
    <t>Total Cost of secondary impact fee</t>
  </si>
  <si>
    <t>Cost of impact fee per IA</t>
  </si>
  <si>
    <t>Select Region</t>
  </si>
  <si>
    <t>North of Pony Express</t>
  </si>
  <si>
    <t>South of Pony Express</t>
  </si>
  <si>
    <t>North Harbor Bay</t>
  </si>
  <si>
    <t>South Harbor Bay</t>
  </si>
  <si>
    <t>Select Housing Type</t>
  </si>
  <si>
    <t>Storm Drain Impact Fee</t>
  </si>
  <si>
    <t>Cost of impact fee per acre</t>
  </si>
  <si>
    <t>Total Cost of storm drain impact fee</t>
  </si>
  <si>
    <t>(Total from Legal Description)</t>
  </si>
  <si>
    <t>Total Storm Drain Impact Fees</t>
  </si>
  <si>
    <t>Total Plat/Project Acreage</t>
  </si>
  <si>
    <t>(Number of Units)</t>
  </si>
  <si>
    <t xml:space="preserve">South Zone 2 Water SID Fee's </t>
  </si>
  <si>
    <t>Water rights + Secondary Impact Fee and SID fee (if applicable)</t>
  </si>
  <si>
    <t xml:space="preserve">*If the secondary SID fee is less than the secondary impact fee the secondary impact fee due is the difference between the secondary SID fee and the secondary impact fee. If the secondary SID fee is greater than the secondary impact fee no additional amount is due for the secondary impact fee. </t>
  </si>
  <si>
    <t xml:space="preserve">City Employee Information: If the SID fees have already been paid put the total amount paid in the "Payoff Quote" cell and then subtract the amount paid from the total secondary water fees. Then make a note that it has already been paid for the secretaries. </t>
  </si>
  <si>
    <t>** Increases depending on the nature of the building.</t>
  </si>
  <si>
    <t xml:space="preserve">By: </t>
  </si>
  <si>
    <t xml:space="preserve">Date: </t>
  </si>
  <si>
    <t>Drinking Water Rights</t>
  </si>
  <si>
    <t>Total drinking water rights required</t>
  </si>
  <si>
    <t>Total cost of drinking water rights</t>
  </si>
  <si>
    <t>Total Drinking Water Fees</t>
  </si>
  <si>
    <t>Drinking Water</t>
  </si>
  <si>
    <t>Drinking Water Fire Flow **</t>
  </si>
  <si>
    <t>Total cost of drinking SID fee</t>
  </si>
  <si>
    <t>*Total Cost of secondary impact fee with SID</t>
  </si>
  <si>
    <t>Total cost of secondary SID fee</t>
  </si>
  <si>
    <t>Existing City Well or Underground Water Rights Approved by City Attorney</t>
  </si>
  <si>
    <t>Select Source of Drinking Water Rights</t>
  </si>
  <si>
    <t>Select Saratoga City Sewer Location</t>
  </si>
  <si>
    <t>Totals</t>
  </si>
  <si>
    <t>Payment of all fees shall be made at plat recordation, not before. This invoice must accompany payment</t>
  </si>
  <si>
    <t>Other Drinking Water Rights (CUWCD)</t>
  </si>
  <si>
    <t>Project is using CUWCD Water Rights?</t>
  </si>
  <si>
    <t>Project is in Zone 2 SID?</t>
  </si>
  <si>
    <t>Water rights + SID Fees</t>
  </si>
  <si>
    <t>Parcel A</t>
  </si>
  <si>
    <t>Parcel B</t>
  </si>
  <si>
    <t>Parcel C</t>
  </si>
  <si>
    <t>Acres</t>
  </si>
  <si>
    <t>Total Parcel</t>
  </si>
  <si>
    <t>Payoff</t>
  </si>
  <si>
    <t>Area Adjusted</t>
  </si>
  <si>
    <t>Parcel ID:</t>
  </si>
  <si>
    <t>Plat</t>
  </si>
  <si>
    <t>Affected</t>
  </si>
  <si>
    <t>Area (Acre)</t>
  </si>
  <si>
    <t>Quote</t>
  </si>
  <si>
    <t xml:space="preserve">Payoff </t>
  </si>
  <si>
    <t>Quote Date</t>
  </si>
  <si>
    <t>PARCEL</t>
  </si>
  <si>
    <t>PLAT TITLE</t>
  </si>
  <si>
    <t>TOTAL PARCEL</t>
  </si>
  <si>
    <t>FROM LYRB</t>
  </si>
  <si>
    <t>DATE</t>
  </si>
  <si>
    <t>Total</t>
  </si>
  <si>
    <t>APPLICABLE AC OF PARCEL</t>
  </si>
  <si>
    <t>Capital cost of water contract per acre foot</t>
  </si>
  <si>
    <t>(225) GL # 58-3891-150</t>
  </si>
  <si>
    <t>(332) GL # 58-3891-155</t>
  </si>
  <si>
    <t>(222) GL # 57-3910-100</t>
  </si>
  <si>
    <t>(207) GL # 31-3910-100</t>
  </si>
  <si>
    <t>(513) GL # 24-3433-100</t>
  </si>
  <si>
    <t>After Recordation each Residential Unit will be required to pay the following Impact Fees when applying for a Building Permit.  The fees below are unofficial and can be used for estimating and planning purposes only.  Final fees due at building permit are determined at Building Permit from the Building Department.</t>
  </si>
  <si>
    <r>
      <t xml:space="preserve">(Payoff Quote from LYRB) </t>
    </r>
    <r>
      <rPr>
        <sz val="8"/>
        <color rgb="FFFF0000"/>
        <rFont val="Arial Rounded MT Bold"/>
        <family val="2"/>
      </rPr>
      <t>Must be checked with LYRB prior to recordation.  Payoff quotes are good for 30 days.</t>
    </r>
  </si>
  <si>
    <t>Irrigable Acreage Calculation</t>
  </si>
  <si>
    <t>Secondary Water Impact Fee</t>
  </si>
  <si>
    <t>per City Code 7.07.04 (updates yearly on January 1st).</t>
  </si>
  <si>
    <r>
      <t xml:space="preserve">Impact &amp; Water Fees for </t>
    </r>
    <r>
      <rPr>
        <b/>
        <u/>
        <sz val="16"/>
        <rFont val="Arial"/>
        <family val="2"/>
      </rPr>
      <t>PLAT RECORDATION</t>
    </r>
  </si>
  <si>
    <t>Central Utah Water Conservancy District Drinking Water Rights</t>
  </si>
  <si>
    <t>Transportation</t>
  </si>
  <si>
    <t>Note the GL #; if project is using CUWCD Water Rights, # is 155, if not, # is 150. Per MC, #150 exists for those who have water right credits to use.</t>
  </si>
  <si>
    <t>Multi-Family/Low-Rise 1-2 Levels</t>
  </si>
  <si>
    <t>Multi-Family/Mid-Rise 3-10 levels</t>
  </si>
  <si>
    <t>Multi-Family/High-Rise&gt;10 levels</t>
  </si>
  <si>
    <t>per Transp IFA 2021</t>
  </si>
  <si>
    <t>Project Name</t>
  </si>
  <si>
    <t>Total Irrigable Acreage</t>
  </si>
  <si>
    <t xml:space="preserve">Total Acreage </t>
  </si>
  <si>
    <t>Per latest IFA (Amended Feb 2023).  Also see 05/02/2023 CC packet.</t>
  </si>
  <si>
    <t>updated on July 1 of each year per the fee schedule on the last page of the latest IFFP</t>
  </si>
  <si>
    <t>Per 2023 SD IFA</t>
  </si>
  <si>
    <t>Date:</t>
  </si>
  <si>
    <t>Prepared By:</t>
  </si>
  <si>
    <t>Cityworks #:</t>
  </si>
  <si>
    <t>Per Ordinance No. 25-11 (03-04-25)</t>
  </si>
  <si>
    <t>or it's $2465 if using well water rights</t>
  </si>
  <si>
    <t>Per last paragraph on page 9 (below table14) of Feb 2025 IFA</t>
  </si>
  <si>
    <t>Per 3/04/2025 Ordinance Secondary Water Impact Fee - KK.  Per latest IFFP table 16 of Feb 2025 IFA (add source and storage together 27,886+13,808=41,694) -KK</t>
  </si>
  <si>
    <t>Per Table 5 &amp; 6 of Jan 2025 IFA</t>
  </si>
  <si>
    <t>Per Ordinance No. 25-15 (03-18-25)</t>
  </si>
  <si>
    <t>(229) GL # 58-3891-160</t>
  </si>
  <si>
    <t>Per TSSD letter to mayors referencing amended fee increase approved at the December 29, 2025 Administrative Board Meeting of the TSSD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</si>
</sst>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quot;$&quot;* #,##0_);_(&quot;$&quot;* \(#,##0\);_(&quot;$&quot;* &quot;-&quot;??_);_(@_)"/>
    <numFmt numFmtId="165" formatCode="#,##0.000"/>
    <numFmt numFmtId="166" formatCode="#,##0.0"/>
    <numFmt numFmtId="167" formatCode="#,##0.00\ \ &quot;Acres&quot;"/>
    <numFmt numFmtId="168" formatCode="&quot;$&quot;#,##0.00"/>
    <numFmt numFmtId="169" formatCode="&quot;$&quot;#,##0.00&quot;*&quot;"/>
  </numFmts>
  <fonts count="36" x14ac:knownFonts="1">
    <font>
      <sz val="11"/>
      <color theme="1"/>
      <name val="Calibri"/>
      <family val="2"/>
      <scheme val="minor"/>
    </font>
    <font>
      <sz val="10"/>
      <name val="Arial"/>
      <family val="2"/>
    </font>
    <font>
      <b/>
      <sz val="16"/>
      <name val="Arial"/>
      <family val="2"/>
    </font>
    <font>
      <b/>
      <sz val="10"/>
      <name val="Arial"/>
      <family val="2"/>
    </font>
    <font>
      <sz val="8"/>
      <name val="Arial Rounded MT Bold"/>
      <family val="2"/>
    </font>
    <font>
      <sz val="10"/>
      <name val="Times New Roman"/>
      <family val="1"/>
    </font>
    <font>
      <b/>
      <sz val="12"/>
      <name val="Times New Roman"/>
      <family val="1"/>
    </font>
    <font>
      <sz val="10"/>
      <color indexed="10"/>
      <name val="Times New Roman"/>
      <family val="1"/>
    </font>
    <font>
      <b/>
      <u/>
      <sz val="12"/>
      <name val="Times New Roman"/>
      <family val="1"/>
    </font>
    <font>
      <b/>
      <sz val="10"/>
      <name val="Times New Roman"/>
      <family val="1"/>
    </font>
    <font>
      <sz val="10"/>
      <color indexed="18"/>
      <name val="Times New Roman"/>
      <family val="1"/>
    </font>
    <font>
      <sz val="8"/>
      <name val="Arial"/>
      <family val="2"/>
    </font>
    <font>
      <b/>
      <i/>
      <sz val="10"/>
      <name val="Times New Roman"/>
      <family val="1"/>
    </font>
    <font>
      <sz val="11"/>
      <color theme="1"/>
      <name val="Calibri"/>
      <family val="2"/>
      <scheme val="minor"/>
    </font>
    <font>
      <sz val="11"/>
      <color rgb="FF3F3F76"/>
      <name val="Calibri"/>
      <family val="2"/>
      <scheme val="minor"/>
    </font>
    <font>
      <sz val="10"/>
      <color theme="3" tint="0.59999389629810485"/>
      <name val="Arial"/>
      <family val="2"/>
    </font>
    <font>
      <sz val="11"/>
      <name val="Calibri"/>
      <family val="2"/>
      <scheme val="minor"/>
    </font>
    <font>
      <b/>
      <sz val="16"/>
      <color rgb="FF3F3F76"/>
      <name val="Arial"/>
      <family val="2"/>
    </font>
    <font>
      <b/>
      <sz val="16"/>
      <color theme="1"/>
      <name val="Arial"/>
      <family val="2"/>
    </font>
    <font>
      <sz val="10"/>
      <name val="Arial Rounded MT Bold"/>
      <family val="2"/>
    </font>
    <font>
      <sz val="8"/>
      <color theme="1"/>
      <name val="Calibri"/>
      <family val="2"/>
      <scheme val="minor"/>
    </font>
    <font>
      <b/>
      <sz val="12"/>
      <name val="Arial"/>
      <family val="2"/>
    </font>
    <font>
      <b/>
      <i/>
      <sz val="10"/>
      <name val="Arial"/>
      <family val="2"/>
    </font>
    <font>
      <b/>
      <sz val="9"/>
      <name val="Arial"/>
      <family val="2"/>
    </font>
    <font>
      <b/>
      <sz val="9"/>
      <color indexed="81"/>
      <name val="Tahoma"/>
      <family val="2"/>
    </font>
    <font>
      <b/>
      <u/>
      <sz val="8"/>
      <color rgb="FFFF0000"/>
      <name val="Arial"/>
      <family val="2"/>
    </font>
    <font>
      <b/>
      <sz val="11"/>
      <name val="Arial"/>
      <family val="2"/>
    </font>
    <font>
      <sz val="8"/>
      <color rgb="FFFF0000"/>
      <name val="Arial"/>
      <family val="2"/>
    </font>
    <font>
      <b/>
      <sz val="11"/>
      <color theme="1"/>
      <name val="Calibri"/>
      <family val="2"/>
      <scheme val="minor"/>
    </font>
    <font>
      <sz val="8"/>
      <color rgb="FFFF0000"/>
      <name val="Arial Rounded MT Bold"/>
      <family val="2"/>
    </font>
    <font>
      <b/>
      <u/>
      <sz val="16"/>
      <name val="Arial"/>
      <family val="2"/>
    </font>
    <font>
      <b/>
      <sz val="16"/>
      <color rgb="FFFF0000"/>
      <name val="Arial"/>
      <family val="2"/>
    </font>
    <font>
      <i/>
      <sz val="11"/>
      <color theme="1"/>
      <name val="Calibri"/>
      <family val="2"/>
      <scheme val="minor"/>
    </font>
    <font>
      <i/>
      <sz val="10"/>
      <name val="Arial"/>
      <family val="2"/>
    </font>
    <font>
      <sz val="12"/>
      <name val="Arial"/>
      <family val="2"/>
    </font>
    <font>
      <sz val="8"/>
      <name val="Wingdings"/>
      <charset val="2"/>
    </font>
  </fonts>
  <fills count="5">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theme="4" tint="0.79998168889431442"/>
        <bgColor indexed="64"/>
      </patternFill>
    </fill>
  </fills>
  <borders count="43">
    <border>
      <left/>
      <right/>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rgb="FF7F7F7F"/>
      </left>
      <right style="thin">
        <color rgb="FF7F7F7F"/>
      </right>
      <top style="thin">
        <color rgb="FF7F7F7F"/>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14" fillId="2" borderId="23" applyNumberFormat="0" applyAlignment="0" applyProtection="0"/>
    <xf numFmtId="0" fontId="1" fillId="0" borderId="0"/>
    <xf numFmtId="9" fontId="13" fillId="0" borderId="0" applyFont="0" applyFill="0" applyBorder="0" applyAlignment="0" applyProtection="0"/>
  </cellStyleXfs>
  <cellXfs count="222">
    <xf numFmtId="0" fontId="0" fillId="0" borderId="0" xfId="0"/>
    <xf numFmtId="0" fontId="1" fillId="0" borderId="0" xfId="3"/>
    <xf numFmtId="0" fontId="3" fillId="0" borderId="0" xfId="3" applyFont="1"/>
    <xf numFmtId="0" fontId="3" fillId="0" borderId="0" xfId="3" applyFont="1" applyAlignment="1">
      <alignment horizontal="right"/>
    </xf>
    <xf numFmtId="44" fontId="3" fillId="0" borderId="0" xfId="3" applyNumberFormat="1" applyFont="1"/>
    <xf numFmtId="44" fontId="3" fillId="0" borderId="0" xfId="1" applyFont="1" applyBorder="1"/>
    <xf numFmtId="0" fontId="15" fillId="0" borderId="0" xfId="3" applyFont="1"/>
    <xf numFmtId="0" fontId="4" fillId="0" borderId="0" xfId="3" applyFont="1"/>
    <xf numFmtId="0" fontId="1" fillId="0" borderId="0" xfId="3" applyAlignment="1">
      <alignment horizontal="right"/>
    </xf>
    <xf numFmtId="44" fontId="1" fillId="0" borderId="0" xfId="3" applyNumberFormat="1"/>
    <xf numFmtId="0" fontId="1" fillId="0" borderId="0" xfId="3" applyAlignment="1">
      <alignment horizontal="right" vertical="center"/>
    </xf>
    <xf numFmtId="44" fontId="1" fillId="0" borderId="0" xfId="3" applyNumberFormat="1" applyAlignment="1">
      <alignment vertical="center"/>
    </xf>
    <xf numFmtId="0" fontId="5" fillId="0" borderId="0" xfId="0" applyFont="1"/>
    <xf numFmtId="3" fontId="5" fillId="0" borderId="0" xfId="0" applyNumberFormat="1" applyFont="1" applyAlignment="1">
      <alignment horizontal="center"/>
    </xf>
    <xf numFmtId="0" fontId="11" fillId="0" borderId="0" xfId="3" applyFont="1"/>
    <xf numFmtId="3" fontId="5" fillId="0" borderId="0" xfId="0" applyNumberFormat="1" applyFont="1" applyAlignment="1">
      <alignment horizontal="center" vertical="center"/>
    </xf>
    <xf numFmtId="0" fontId="5" fillId="0" borderId="0" xfId="0" applyFont="1" applyAlignment="1">
      <alignment vertical="center"/>
    </xf>
    <xf numFmtId="0" fontId="2" fillId="0" borderId="0" xfId="3" applyFont="1" applyAlignment="1">
      <alignment horizontal="center" vertical="center"/>
    </xf>
    <xf numFmtId="0" fontId="0" fillId="0" borderId="0" xfId="0" applyAlignment="1">
      <alignment horizontal="center" vertical="center"/>
    </xf>
    <xf numFmtId="0" fontId="6" fillId="0" borderId="0" xfId="0" applyFont="1" applyAlignment="1">
      <alignment vertical="center"/>
    </xf>
    <xf numFmtId="0" fontId="6" fillId="0" borderId="0" xfId="0" quotePrefix="1" applyFont="1" applyAlignment="1">
      <alignment horizontal="left" vertical="center"/>
    </xf>
    <xf numFmtId="0" fontId="6" fillId="0" borderId="2" xfId="0" applyFont="1" applyBorder="1" applyAlignment="1">
      <alignment horizontal="left" vertical="center"/>
    </xf>
    <xf numFmtId="3" fontId="5" fillId="0" borderId="3" xfId="0" applyNumberFormat="1" applyFont="1" applyBorder="1" applyAlignment="1">
      <alignment horizontal="center" vertical="center"/>
    </xf>
    <xf numFmtId="3" fontId="5" fillId="0" borderId="4" xfId="0" applyNumberFormat="1" applyFont="1" applyBorder="1" applyAlignment="1">
      <alignment horizontal="center" vertical="center"/>
    </xf>
    <xf numFmtId="0" fontId="6" fillId="0" borderId="5" xfId="0" quotePrefix="1" applyFont="1" applyBorder="1" applyAlignment="1">
      <alignment horizontal="left" vertical="center"/>
    </xf>
    <xf numFmtId="3" fontId="5" fillId="0" borderId="7" xfId="0" applyNumberFormat="1" applyFont="1" applyBorder="1" applyAlignment="1">
      <alignment horizontal="center" vertical="center"/>
    </xf>
    <xf numFmtId="3" fontId="7" fillId="0" borderId="0" xfId="0" applyNumberFormat="1" applyFont="1" applyAlignment="1">
      <alignment horizontal="left" vertical="center"/>
    </xf>
    <xf numFmtId="0" fontId="8" fillId="0" borderId="8" xfId="0" applyFont="1" applyBorder="1" applyAlignment="1">
      <alignmen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0" xfId="0" applyNumberFormat="1" applyFont="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2" xfId="0" quotePrefix="1" applyFont="1" applyBorder="1" applyAlignment="1">
      <alignment horizontal="left" vertical="center"/>
    </xf>
    <xf numFmtId="0" fontId="9" fillId="0" borderId="13" xfId="0" applyFont="1" applyBorder="1" applyAlignment="1">
      <alignment vertical="center"/>
    </xf>
    <xf numFmtId="0" fontId="5" fillId="0" borderId="0" xfId="0" applyFont="1" applyAlignment="1">
      <alignment horizontal="center" vertical="center" wrapText="1"/>
    </xf>
    <xf numFmtId="0" fontId="10" fillId="0" borderId="14" xfId="0" quotePrefix="1" applyFont="1" applyBorder="1" applyAlignment="1">
      <alignment horizontal="left" vertical="center"/>
    </xf>
    <xf numFmtId="3" fontId="10" fillId="0" borderId="15" xfId="0" applyNumberFormat="1" applyFont="1" applyBorder="1" applyAlignment="1">
      <alignment horizontal="center" vertical="center"/>
    </xf>
    <xf numFmtId="4" fontId="5" fillId="0" borderId="15" xfId="0" applyNumberFormat="1" applyFont="1" applyBorder="1" applyAlignment="1">
      <alignment horizontal="center" vertical="center"/>
    </xf>
    <xf numFmtId="3" fontId="5" fillId="0" borderId="16" xfId="0" applyNumberFormat="1" applyFont="1" applyBorder="1" applyAlignment="1">
      <alignment horizontal="center" vertical="center"/>
    </xf>
    <xf numFmtId="3" fontId="5" fillId="0" borderId="17"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8" xfId="0" applyNumberFormat="1" applyFont="1" applyBorder="1" applyAlignment="1">
      <alignment horizontal="center" vertical="center"/>
    </xf>
    <xf numFmtId="4" fontId="5" fillId="0" borderId="17" xfId="0" applyNumberFormat="1" applyFont="1" applyBorder="1" applyAlignment="1">
      <alignment horizontal="right" vertical="center"/>
    </xf>
    <xf numFmtId="165" fontId="5" fillId="0" borderId="0" xfId="0" applyNumberFormat="1" applyFont="1" applyAlignment="1">
      <alignment horizontal="center" vertical="center"/>
    </xf>
    <xf numFmtId="4" fontId="5" fillId="0" borderId="0" xfId="0" applyNumberFormat="1" applyFont="1" applyAlignment="1">
      <alignment horizontal="right" vertical="center"/>
    </xf>
    <xf numFmtId="165" fontId="9" fillId="0" borderId="18" xfId="0" applyNumberFormat="1" applyFont="1" applyBorder="1" applyAlignment="1">
      <alignment horizontal="center" vertical="center"/>
    </xf>
    <xf numFmtId="0" fontId="5" fillId="0" borderId="17" xfId="0" applyFont="1" applyBorder="1" applyAlignment="1">
      <alignment vertical="center"/>
    </xf>
    <xf numFmtId="0" fontId="9" fillId="0" borderId="11" xfId="0" applyFont="1" applyBorder="1" applyAlignment="1">
      <alignment horizontal="center" vertical="center"/>
    </xf>
    <xf numFmtId="3" fontId="9" fillId="0" borderId="12" xfId="0" applyNumberFormat="1" applyFont="1" applyBorder="1" applyAlignment="1">
      <alignment horizontal="center" vertical="center"/>
    </xf>
    <xf numFmtId="3" fontId="9" fillId="0" borderId="13" xfId="0" applyNumberFormat="1" applyFont="1" applyBorder="1" applyAlignment="1">
      <alignment horizontal="center" vertical="center" wrapText="1"/>
    </xf>
    <xf numFmtId="0" fontId="5" fillId="0" borderId="0" xfId="0" applyFont="1" applyAlignment="1">
      <alignment horizontal="center" vertical="center"/>
    </xf>
    <xf numFmtId="0" fontId="10" fillId="0" borderId="17" xfId="0" applyFont="1" applyBorder="1" applyAlignment="1">
      <alignment horizontal="center" vertical="center"/>
    </xf>
    <xf numFmtId="3" fontId="10" fillId="0" borderId="0" xfId="0" applyNumberFormat="1" applyFont="1" applyAlignment="1">
      <alignment horizontal="center" vertical="center"/>
    </xf>
    <xf numFmtId="4" fontId="5" fillId="0" borderId="0" xfId="0" applyNumberFormat="1" applyFont="1" applyAlignment="1">
      <alignment horizontal="center" vertical="center"/>
    </xf>
    <xf numFmtId="4" fontId="5" fillId="0" borderId="12"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5" fillId="0" borderId="13" xfId="0" applyNumberFormat="1" applyFont="1" applyBorder="1" applyAlignment="1">
      <alignment horizontal="center" vertical="center"/>
    </xf>
    <xf numFmtId="0" fontId="9" fillId="0" borderId="11" xfId="0" applyFont="1" applyBorder="1" applyAlignment="1">
      <alignment horizontal="center" vertical="center" wrapText="1"/>
    </xf>
    <xf numFmtId="3" fontId="9" fillId="0" borderId="12" xfId="0" applyNumberFormat="1" applyFont="1" applyBorder="1" applyAlignment="1">
      <alignment horizontal="center" vertical="center" wrapText="1"/>
    </xf>
    <xf numFmtId="0" fontId="9" fillId="0" borderId="0" xfId="0" applyFont="1" applyAlignment="1">
      <alignment horizontal="center" vertical="center" wrapText="1"/>
    </xf>
    <xf numFmtId="0" fontId="5" fillId="0" borderId="11" xfId="0" applyFont="1" applyBorder="1" applyAlignment="1">
      <alignment vertical="center"/>
    </xf>
    <xf numFmtId="0" fontId="5" fillId="0" borderId="17" xfId="0" applyFont="1" applyBorder="1" applyAlignment="1">
      <alignment horizontal="right" vertical="center"/>
    </xf>
    <xf numFmtId="9" fontId="5" fillId="0" borderId="0" xfId="4" applyFont="1" applyBorder="1" applyAlignment="1">
      <alignment horizontal="center" vertical="center"/>
    </xf>
    <xf numFmtId="0" fontId="5" fillId="0" borderId="19" xfId="0" applyFont="1" applyBorder="1" applyAlignment="1">
      <alignment vertical="center"/>
    </xf>
    <xf numFmtId="3" fontId="5" fillId="0" borderId="20" xfId="0" applyNumberFormat="1" applyFont="1" applyBorder="1" applyAlignment="1">
      <alignment horizontal="center" vertical="center"/>
    </xf>
    <xf numFmtId="4" fontId="5" fillId="0" borderId="20" xfId="0" applyNumberFormat="1" applyFont="1" applyBorder="1" applyAlignment="1">
      <alignment horizontal="center" vertical="center"/>
    </xf>
    <xf numFmtId="165" fontId="5" fillId="0" borderId="0" xfId="0" applyNumberFormat="1" applyFont="1" applyAlignment="1">
      <alignment vertical="center"/>
    </xf>
    <xf numFmtId="3" fontId="9" fillId="0" borderId="0" xfId="0" applyNumberFormat="1" applyFont="1" applyAlignment="1">
      <alignment horizontal="right" vertical="center"/>
    </xf>
    <xf numFmtId="0" fontId="8" fillId="0" borderId="17" xfId="0" applyFont="1" applyBorder="1" applyAlignment="1">
      <alignment vertical="center"/>
    </xf>
    <xf numFmtId="4" fontId="9" fillId="0" borderId="12" xfId="0" applyNumberFormat="1" applyFont="1" applyBorder="1" applyAlignment="1">
      <alignment horizontal="center" vertical="center"/>
    </xf>
    <xf numFmtId="0" fontId="5" fillId="3" borderId="17" xfId="0" applyFont="1" applyFill="1" applyBorder="1" applyAlignment="1">
      <alignment vertical="center"/>
    </xf>
    <xf numFmtId="3" fontId="5" fillId="3" borderId="0" xfId="0" applyNumberFormat="1" applyFont="1" applyFill="1" applyAlignment="1">
      <alignment horizontal="center" vertical="center"/>
    </xf>
    <xf numFmtId="3" fontId="6" fillId="3" borderId="0" xfId="0" quotePrefix="1" applyNumberFormat="1" applyFont="1" applyFill="1" applyAlignment="1">
      <alignment horizontal="right" vertical="center"/>
    </xf>
    <xf numFmtId="0" fontId="5" fillId="0" borderId="21" xfId="0" applyFont="1" applyBorder="1" applyAlignment="1">
      <alignment vertical="center"/>
    </xf>
    <xf numFmtId="3" fontId="5" fillId="0" borderId="6" xfId="0" applyNumberFormat="1" applyFont="1" applyBorder="1" applyAlignment="1">
      <alignment horizontal="center" vertical="center"/>
    </xf>
    <xf numFmtId="3" fontId="6" fillId="0" borderId="6" xfId="0" applyNumberFormat="1" applyFont="1" applyBorder="1" applyAlignment="1">
      <alignment horizontal="right" vertical="center"/>
    </xf>
    <xf numFmtId="165" fontId="6" fillId="0" borderId="7" xfId="0" applyNumberFormat="1" applyFont="1" applyBorder="1" applyAlignment="1">
      <alignment horizontal="center" vertical="center"/>
    </xf>
    <xf numFmtId="3" fontId="12" fillId="0" borderId="20" xfId="0" applyNumberFormat="1" applyFont="1" applyBorder="1" applyAlignment="1">
      <alignment horizontal="right" vertical="center"/>
    </xf>
    <xf numFmtId="165" fontId="12" fillId="0" borderId="22" xfId="0" applyNumberFormat="1" applyFont="1" applyBorder="1" applyAlignment="1">
      <alignment horizontal="center" vertical="center"/>
    </xf>
    <xf numFmtId="3" fontId="5" fillId="0" borderId="17" xfId="0" applyNumberFormat="1" applyFont="1" applyBorder="1" applyAlignment="1">
      <alignment horizontal="center" vertical="center"/>
    </xf>
    <xf numFmtId="3" fontId="12" fillId="0" borderId="0" xfId="0" applyNumberFormat="1" applyFont="1" applyAlignment="1">
      <alignment horizontal="right" vertical="center"/>
    </xf>
    <xf numFmtId="165" fontId="12" fillId="0" borderId="18" xfId="0" applyNumberFormat="1" applyFont="1" applyBorder="1" applyAlignment="1">
      <alignment horizontal="center" vertical="center"/>
    </xf>
    <xf numFmtId="4" fontId="9" fillId="0" borderId="0" xfId="0" applyNumberFormat="1" applyFont="1" applyAlignment="1">
      <alignment horizontal="right" vertical="center"/>
    </xf>
    <xf numFmtId="3" fontId="9" fillId="0" borderId="18" xfId="0" applyNumberFormat="1" applyFont="1" applyBorder="1" applyAlignment="1">
      <alignment horizontal="center" vertical="center"/>
    </xf>
    <xf numFmtId="167" fontId="6" fillId="3" borderId="18" xfId="0" applyNumberFormat="1" applyFont="1" applyFill="1" applyBorder="1" applyAlignment="1">
      <alignment horizontal="center" vertical="center"/>
    </xf>
    <xf numFmtId="166" fontId="1" fillId="0" borderId="0" xfId="3" applyNumberFormat="1"/>
    <xf numFmtId="44" fontId="21" fillId="3" borderId="1" xfId="1" applyFont="1" applyFill="1" applyBorder="1"/>
    <xf numFmtId="0" fontId="1" fillId="0" borderId="0" xfId="3" applyAlignment="1">
      <alignment horizontal="center"/>
    </xf>
    <xf numFmtId="0" fontId="1" fillId="0" borderId="24" xfId="3" applyBorder="1"/>
    <xf numFmtId="168" fontId="1" fillId="0" borderId="26" xfId="3" applyNumberFormat="1" applyBorder="1" applyAlignment="1">
      <alignment horizontal="center"/>
    </xf>
    <xf numFmtId="168" fontId="1" fillId="0" borderId="28" xfId="3" applyNumberFormat="1" applyBorder="1" applyAlignment="1">
      <alignment horizontal="center"/>
    </xf>
    <xf numFmtId="168" fontId="22" fillId="0" borderId="27" xfId="3" applyNumberFormat="1" applyFont="1" applyBorder="1" applyAlignment="1">
      <alignment horizontal="center"/>
    </xf>
    <xf numFmtId="0" fontId="22" fillId="0" borderId="25" xfId="3" applyFont="1" applyBorder="1" applyAlignment="1">
      <alignment horizontal="center"/>
    </xf>
    <xf numFmtId="3" fontId="5" fillId="0" borderId="30" xfId="0" applyNumberFormat="1" applyFont="1" applyBorder="1" applyAlignment="1">
      <alignment horizontal="right" vertical="center"/>
    </xf>
    <xf numFmtId="3" fontId="5" fillId="0" borderId="29" xfId="0" applyNumberFormat="1" applyFont="1" applyBorder="1" applyAlignment="1">
      <alignment horizontal="center" vertical="center"/>
    </xf>
    <xf numFmtId="3" fontId="5" fillId="0" borderId="29" xfId="0" applyNumberFormat="1" applyFont="1" applyBorder="1" applyAlignment="1">
      <alignment horizontal="right" vertical="center"/>
    </xf>
    <xf numFmtId="3" fontId="5" fillId="0" borderId="31" xfId="0" applyNumberFormat="1" applyFont="1" applyBorder="1" applyAlignment="1">
      <alignment horizontal="center" vertical="center"/>
    </xf>
    <xf numFmtId="4" fontId="5" fillId="0" borderId="29" xfId="0" applyNumberFormat="1" applyFont="1" applyBorder="1" applyAlignment="1">
      <alignment horizontal="center" vertical="center"/>
    </xf>
    <xf numFmtId="169" fontId="1" fillId="0" borderId="0" xfId="3" applyNumberFormat="1" applyAlignment="1">
      <alignment horizontal="center"/>
    </xf>
    <xf numFmtId="0" fontId="1" fillId="0" borderId="32" xfId="3" applyBorder="1"/>
    <xf numFmtId="168" fontId="1" fillId="0" borderId="32" xfId="3" applyNumberFormat="1" applyBorder="1" applyAlignment="1">
      <alignment horizontal="center"/>
    </xf>
    <xf numFmtId="168" fontId="1" fillId="0" borderId="27" xfId="3" applyNumberFormat="1" applyBorder="1" applyAlignment="1">
      <alignment horizontal="center"/>
    </xf>
    <xf numFmtId="0" fontId="1" fillId="0" borderId="33" xfId="3" applyBorder="1"/>
    <xf numFmtId="169" fontId="1" fillId="0" borderId="34" xfId="3" applyNumberFormat="1" applyBorder="1" applyAlignment="1">
      <alignment horizontal="center"/>
    </xf>
    <xf numFmtId="168" fontId="22" fillId="0" borderId="34" xfId="3" applyNumberFormat="1" applyFont="1" applyBorder="1" applyAlignment="1">
      <alignment horizontal="center"/>
    </xf>
    <xf numFmtId="168" fontId="1" fillId="0" borderId="34" xfId="3" applyNumberFormat="1" applyBorder="1" applyAlignment="1">
      <alignment horizontal="center"/>
    </xf>
    <xf numFmtId="0" fontId="1" fillId="3" borderId="32" xfId="3" applyFill="1" applyBorder="1"/>
    <xf numFmtId="0" fontId="1" fillId="0" borderId="0" xfId="3" applyAlignment="1">
      <alignment vertical="top" wrapText="1"/>
    </xf>
    <xf numFmtId="4" fontId="3" fillId="0" borderId="1" xfId="1" applyNumberFormat="1" applyFont="1" applyBorder="1"/>
    <xf numFmtId="168" fontId="22" fillId="0" borderId="0" xfId="3" applyNumberFormat="1" applyFont="1" applyAlignment="1">
      <alignment horizontal="center"/>
    </xf>
    <xf numFmtId="0" fontId="3" fillId="0" borderId="26" xfId="3" applyFont="1" applyBorder="1" applyAlignment="1">
      <alignment wrapText="1"/>
    </xf>
    <xf numFmtId="0" fontId="3" fillId="3" borderId="25" xfId="3" applyFont="1" applyFill="1" applyBorder="1" applyAlignment="1">
      <alignment horizontal="left"/>
    </xf>
    <xf numFmtId="168" fontId="1" fillId="0" borderId="35" xfId="3" applyNumberFormat="1" applyBorder="1" applyAlignment="1">
      <alignment horizontal="center" wrapText="1"/>
    </xf>
    <xf numFmtId="0" fontId="1" fillId="0" borderId="26" xfId="3" applyBorder="1"/>
    <xf numFmtId="0" fontId="3" fillId="3" borderId="27" xfId="3" applyFont="1" applyFill="1" applyBorder="1" applyAlignment="1">
      <alignment wrapText="1"/>
    </xf>
    <xf numFmtId="0" fontId="3" fillId="3" borderId="35" xfId="3" applyFont="1" applyFill="1" applyBorder="1" applyAlignment="1">
      <alignment wrapText="1"/>
    </xf>
    <xf numFmtId="0" fontId="1" fillId="0" borderId="27" xfId="3" applyBorder="1"/>
    <xf numFmtId="0" fontId="1" fillId="0" borderId="8" xfId="3" applyBorder="1"/>
    <xf numFmtId="0" fontId="3" fillId="0" borderId="9" xfId="3" applyFont="1" applyBorder="1"/>
    <xf numFmtId="0" fontId="1" fillId="0" borderId="9" xfId="3" applyBorder="1"/>
    <xf numFmtId="0" fontId="4" fillId="0" borderId="9" xfId="3" applyFont="1" applyBorder="1"/>
    <xf numFmtId="0" fontId="1" fillId="0" borderId="10" xfId="3" applyBorder="1"/>
    <xf numFmtId="0" fontId="1" fillId="0" borderId="17" xfId="3" applyBorder="1"/>
    <xf numFmtId="0" fontId="16" fillId="2" borderId="23" xfId="2" applyFont="1" applyAlignment="1">
      <alignment horizontal="center"/>
    </xf>
    <xf numFmtId="0" fontId="1" fillId="0" borderId="18" xfId="3" applyBorder="1"/>
    <xf numFmtId="4" fontId="16" fillId="2" borderId="23" xfId="2" applyNumberFormat="1" applyFont="1" applyAlignment="1">
      <alignment horizontal="center"/>
    </xf>
    <xf numFmtId="0" fontId="1" fillId="0" borderId="21" xfId="3" applyBorder="1"/>
    <xf numFmtId="0" fontId="3" fillId="0" borderId="6" xfId="3" applyFont="1" applyBorder="1"/>
    <xf numFmtId="0" fontId="4" fillId="0" borderId="6" xfId="3" applyFont="1" applyBorder="1"/>
    <xf numFmtId="0" fontId="1" fillId="0" borderId="6" xfId="3" applyBorder="1"/>
    <xf numFmtId="0" fontId="1" fillId="0" borderId="7" xfId="3" applyBorder="1"/>
    <xf numFmtId="0" fontId="19" fillId="0" borderId="0" xfId="3" applyFont="1"/>
    <xf numFmtId="0" fontId="1" fillId="0" borderId="6" xfId="3" applyBorder="1" applyAlignment="1">
      <alignment horizontal="center"/>
    </xf>
    <xf numFmtId="164" fontId="1" fillId="0" borderId="9" xfId="3" applyNumberFormat="1" applyBorder="1"/>
    <xf numFmtId="0" fontId="19" fillId="0" borderId="9" xfId="3" applyFont="1" applyBorder="1"/>
    <xf numFmtId="0" fontId="11" fillId="0" borderId="6" xfId="3" applyFont="1" applyBorder="1"/>
    <xf numFmtId="0" fontId="1" fillId="0" borderId="9" xfId="3" applyBorder="1" applyAlignment="1">
      <alignment horizontal="center"/>
    </xf>
    <xf numFmtId="44" fontId="3" fillId="0" borderId="9" xfId="1" applyFont="1" applyBorder="1"/>
    <xf numFmtId="0" fontId="11" fillId="0" borderId="9" xfId="3" applyFont="1" applyBorder="1"/>
    <xf numFmtId="44" fontId="1" fillId="0" borderId="18" xfId="3" applyNumberFormat="1" applyBorder="1"/>
    <xf numFmtId="0" fontId="23" fillId="0" borderId="9" xfId="3" applyFont="1" applyBorder="1" applyAlignment="1">
      <alignment horizontal="left" wrapText="1"/>
    </xf>
    <xf numFmtId="0" fontId="23" fillId="0" borderId="10" xfId="3" applyFont="1" applyBorder="1" applyAlignment="1">
      <alignment horizontal="left" wrapText="1"/>
    </xf>
    <xf numFmtId="4" fontId="16" fillId="2" borderId="36" xfId="2" applyNumberFormat="1" applyFont="1" applyBorder="1" applyAlignment="1">
      <alignment horizontal="center"/>
    </xf>
    <xf numFmtId="44" fontId="21" fillId="0" borderId="9" xfId="1" applyFont="1" applyFill="1" applyBorder="1"/>
    <xf numFmtId="0" fontId="0" fillId="0" borderId="0" xfId="0" applyAlignment="1">
      <alignment horizontal="center"/>
    </xf>
    <xf numFmtId="0" fontId="28" fillId="0" borderId="0" xfId="0" applyFont="1"/>
    <xf numFmtId="0" fontId="28" fillId="0" borderId="0" xfId="0" applyFont="1" applyAlignment="1">
      <alignment horizontal="center"/>
    </xf>
    <xf numFmtId="44" fontId="0" fillId="0" borderId="0" xfId="0" applyNumberFormat="1"/>
    <xf numFmtId="14" fontId="0" fillId="0" borderId="0" xfId="0" applyNumberFormat="1" applyAlignment="1">
      <alignment horizontal="center"/>
    </xf>
    <xf numFmtId="44" fontId="28" fillId="0" borderId="0" xfId="0" applyNumberFormat="1" applyFont="1"/>
    <xf numFmtId="0" fontId="3" fillId="0" borderId="0" xfId="3" applyFont="1" applyAlignment="1">
      <alignment horizontal="center"/>
    </xf>
    <xf numFmtId="2" fontId="1" fillId="0" borderId="0" xfId="1" applyNumberFormat="1" applyFont="1" applyBorder="1" applyAlignment="1">
      <alignment horizontal="right"/>
    </xf>
    <xf numFmtId="4" fontId="5" fillId="0" borderId="6" xfId="0" applyNumberFormat="1" applyFont="1" applyBorder="1" applyAlignment="1">
      <alignment horizontal="center" vertical="center"/>
    </xf>
    <xf numFmtId="168" fontId="1" fillId="0" borderId="34" xfId="3" applyNumberFormat="1" applyBorder="1" applyAlignment="1">
      <alignment horizontal="left"/>
    </xf>
    <xf numFmtId="0" fontId="1" fillId="0" borderId="0" xfId="3" applyAlignment="1">
      <alignment vertical="center"/>
    </xf>
    <xf numFmtId="0" fontId="1" fillId="4" borderId="0" xfId="3" applyFill="1"/>
    <xf numFmtId="164" fontId="32" fillId="0" borderId="0" xfId="1" applyNumberFormat="1" applyFont="1" applyFill="1" applyBorder="1"/>
    <xf numFmtId="44" fontId="33" fillId="0" borderId="0" xfId="1" applyFont="1" applyBorder="1"/>
    <xf numFmtId="0" fontId="21" fillId="0" borderId="0" xfId="3" applyFont="1"/>
    <xf numFmtId="0" fontId="34" fillId="0" borderId="0" xfId="3" applyFont="1"/>
    <xf numFmtId="0" fontId="26" fillId="0" borderId="6" xfId="3" applyFont="1" applyBorder="1"/>
    <xf numFmtId="44" fontId="26" fillId="0" borderId="1" xfId="1" applyFont="1" applyBorder="1"/>
    <xf numFmtId="0" fontId="26" fillId="0" borderId="0" xfId="3" applyFont="1"/>
    <xf numFmtId="4" fontId="26" fillId="0" borderId="1" xfId="1" applyNumberFormat="1" applyFont="1" applyBorder="1"/>
    <xf numFmtId="44" fontId="26" fillId="0" borderId="0" xfId="1" applyFont="1" applyBorder="1"/>
    <xf numFmtId="0" fontId="26" fillId="0" borderId="9" xfId="3" applyFont="1" applyBorder="1"/>
    <xf numFmtId="0" fontId="21" fillId="0" borderId="37" xfId="3" applyFont="1" applyBorder="1" applyAlignment="1">
      <alignment horizontal="right"/>
    </xf>
    <xf numFmtId="0" fontId="21" fillId="0" borderId="38" xfId="3" applyFont="1" applyBorder="1" applyAlignment="1">
      <alignment horizontal="center"/>
    </xf>
    <xf numFmtId="0" fontId="21" fillId="0" borderId="39" xfId="3" applyFont="1" applyBorder="1" applyAlignment="1">
      <alignment horizontal="right"/>
    </xf>
    <xf numFmtId="14" fontId="21" fillId="0" borderId="40" xfId="3" applyNumberFormat="1" applyFont="1" applyBorder="1" applyAlignment="1">
      <alignment horizontal="center"/>
    </xf>
    <xf numFmtId="0" fontId="21" fillId="0" borderId="41" xfId="3" applyFont="1" applyBorder="1" applyAlignment="1">
      <alignment horizontal="right"/>
    </xf>
    <xf numFmtId="0" fontId="21" fillId="0" borderId="42" xfId="3" applyFont="1" applyBorder="1" applyAlignment="1">
      <alignment horizontal="center"/>
    </xf>
    <xf numFmtId="44" fontId="33" fillId="0" borderId="0" xfId="3" applyNumberFormat="1" applyFont="1"/>
    <xf numFmtId="0" fontId="4" fillId="0" borderId="0" xfId="3" applyFont="1" applyAlignment="1">
      <alignment vertical="center"/>
    </xf>
    <xf numFmtId="0" fontId="4" fillId="0" borderId="0" xfId="3" applyFont="1" applyAlignment="1">
      <alignment vertical="center" wrapText="1"/>
    </xf>
    <xf numFmtId="0" fontId="35" fillId="0" borderId="18" xfId="3" applyFont="1" applyBorder="1" applyAlignment="1">
      <alignment horizontal="right" vertical="center" wrapText="1"/>
    </xf>
    <xf numFmtId="44" fontId="26" fillId="0" borderId="1" xfId="1" applyFont="1" applyFill="1" applyBorder="1"/>
    <xf numFmtId="0" fontId="4" fillId="0" borderId="6" xfId="3" applyFont="1" applyBorder="1" applyAlignment="1">
      <alignment vertical="center" wrapText="1"/>
    </xf>
    <xf numFmtId="0" fontId="4" fillId="0" borderId="7" xfId="3" applyFont="1" applyBorder="1" applyAlignment="1">
      <alignment vertical="center" wrapText="1"/>
    </xf>
    <xf numFmtId="2" fontId="1" fillId="0" borderId="0" xfId="3" applyNumberFormat="1" applyAlignment="1">
      <alignment horizontal="right"/>
    </xf>
    <xf numFmtId="0" fontId="35" fillId="0" borderId="0" xfId="3" applyFont="1" applyAlignment="1">
      <alignment horizontal="right" vertical="center" wrapText="1"/>
    </xf>
    <xf numFmtId="0" fontId="17" fillId="2" borderId="0" xfId="2" applyFont="1" applyBorder="1" applyAlignment="1">
      <alignment horizontal="center"/>
    </xf>
    <xf numFmtId="0" fontId="18" fillId="0" borderId="0" xfId="0" applyFont="1" applyAlignment="1">
      <alignment horizontal="center"/>
    </xf>
    <xf numFmtId="0" fontId="2" fillId="0" borderId="0" xfId="3" applyFont="1" applyAlignment="1">
      <alignment horizontal="center"/>
    </xf>
    <xf numFmtId="0" fontId="0" fillId="0" borderId="0" xfId="0" applyAlignment="1">
      <alignment horizontal="center"/>
    </xf>
    <xf numFmtId="0" fontId="4" fillId="0" borderId="0" xfId="3" applyFont="1" applyAlignment="1">
      <alignment vertical="center" wrapText="1"/>
    </xf>
    <xf numFmtId="0" fontId="20" fillId="0" borderId="0" xfId="0" applyFont="1" applyAlignment="1">
      <alignment vertical="center" wrapText="1"/>
    </xf>
    <xf numFmtId="0" fontId="0" fillId="0" borderId="18" xfId="0" applyBorder="1" applyAlignment="1">
      <alignment wrapText="1"/>
    </xf>
    <xf numFmtId="0" fontId="4" fillId="0" borderId="0" xfId="3" applyFont="1" applyAlignment="1">
      <alignment horizontal="left" vertical="center" wrapText="1"/>
    </xf>
    <xf numFmtId="0" fontId="4" fillId="0" borderId="18" xfId="3" applyFont="1" applyBorder="1" applyAlignment="1">
      <alignment horizontal="left" vertical="center" wrapText="1"/>
    </xf>
    <xf numFmtId="0" fontId="4" fillId="0" borderId="6" xfId="3" applyFont="1" applyBorder="1" applyAlignment="1">
      <alignment horizontal="left" vertical="center" wrapText="1"/>
    </xf>
    <xf numFmtId="0" fontId="4" fillId="0" borderId="7" xfId="3" applyFont="1" applyBorder="1" applyAlignment="1">
      <alignment horizontal="left" vertical="center" wrapText="1"/>
    </xf>
    <xf numFmtId="0" fontId="27" fillId="0" borderId="0" xfId="3" applyFont="1" applyAlignment="1">
      <alignment horizontal="left" vertical="center" wrapText="1"/>
    </xf>
    <xf numFmtId="0" fontId="27" fillId="0" borderId="18" xfId="3" applyFont="1" applyBorder="1" applyAlignment="1">
      <alignment horizontal="left" vertical="center" wrapText="1"/>
    </xf>
    <xf numFmtId="0" fontId="27" fillId="0" borderId="6" xfId="3" applyFont="1" applyBorder="1" applyAlignment="1">
      <alignment horizontal="left" vertical="center" wrapText="1"/>
    </xf>
    <xf numFmtId="0" fontId="27" fillId="0" borderId="7" xfId="3" applyFont="1" applyBorder="1" applyAlignment="1">
      <alignment horizontal="left" vertical="center" wrapText="1"/>
    </xf>
    <xf numFmtId="0" fontId="31" fillId="0" borderId="6" xfId="3" applyFont="1" applyBorder="1" applyAlignment="1">
      <alignment horizontal="left" vertical="center" wrapText="1"/>
    </xf>
    <xf numFmtId="0" fontId="29" fillId="0" borderId="0" xfId="3" applyFont="1" applyAlignment="1">
      <alignment horizontal="left" vertical="top" wrapText="1"/>
    </xf>
    <xf numFmtId="0" fontId="29" fillId="0" borderId="18" xfId="3" applyFont="1" applyBorder="1" applyAlignment="1">
      <alignment horizontal="left" vertical="top" wrapText="1"/>
    </xf>
    <xf numFmtId="0" fontId="29" fillId="0" borderId="6" xfId="3" applyFont="1" applyBorder="1" applyAlignment="1">
      <alignment horizontal="left" vertical="top" wrapText="1"/>
    </xf>
    <xf numFmtId="0" fontId="29" fillId="0" borderId="7" xfId="3" applyFont="1" applyBorder="1" applyAlignment="1">
      <alignment horizontal="left" vertical="top" wrapText="1"/>
    </xf>
    <xf numFmtId="0" fontId="1" fillId="0" borderId="17" xfId="3" applyBorder="1"/>
    <xf numFmtId="0" fontId="1" fillId="0" borderId="0" xfId="3"/>
    <xf numFmtId="0" fontId="1" fillId="0" borderId="0" xfId="3" applyAlignment="1">
      <alignment horizontal="left" vertical="top" wrapText="1"/>
    </xf>
    <xf numFmtId="0" fontId="23" fillId="0" borderId="6" xfId="3" applyFont="1" applyBorder="1" applyAlignment="1">
      <alignment horizontal="left" wrapText="1"/>
    </xf>
    <xf numFmtId="0" fontId="23" fillId="0" borderId="7" xfId="3" applyFont="1" applyBorder="1" applyAlignment="1">
      <alignment horizontal="left" wrapText="1"/>
    </xf>
    <xf numFmtId="0" fontId="25" fillId="0" borderId="0" xfId="3" applyFont="1" applyAlignment="1">
      <alignment horizontal="left" wrapText="1"/>
    </xf>
    <xf numFmtId="0" fontId="25" fillId="0" borderId="18" xfId="3" applyFont="1" applyBorder="1" applyAlignment="1">
      <alignment horizontal="left" wrapText="1"/>
    </xf>
    <xf numFmtId="0" fontId="25" fillId="0" borderId="6" xfId="3" applyFont="1" applyBorder="1" applyAlignment="1">
      <alignment horizontal="left" wrapText="1"/>
    </xf>
    <xf numFmtId="0" fontId="25" fillId="0" borderId="7" xfId="3" applyFont="1" applyBorder="1" applyAlignment="1">
      <alignment horizontal="left" wrapText="1"/>
    </xf>
    <xf numFmtId="0" fontId="26" fillId="3" borderId="0" xfId="3" applyFont="1" applyFill="1" applyAlignment="1">
      <alignment horizontal="center" vertical="top" wrapText="1"/>
    </xf>
    <xf numFmtId="0" fontId="22" fillId="0" borderId="9" xfId="3" applyFont="1" applyBorder="1" applyAlignment="1">
      <alignment horizontal="left" wrapText="1"/>
    </xf>
    <xf numFmtId="0" fontId="22" fillId="0" borderId="0" xfId="3" applyFont="1" applyAlignment="1">
      <alignment horizontal="left" wrapText="1"/>
    </xf>
    <xf numFmtId="0" fontId="4" fillId="0" borderId="9" xfId="3" applyFont="1" applyBorder="1" applyAlignment="1">
      <alignment horizontal="left" wrapText="1"/>
    </xf>
    <xf numFmtId="0" fontId="4" fillId="0" borderId="10" xfId="3" applyFont="1" applyBorder="1" applyAlignment="1">
      <alignment horizontal="left" wrapText="1"/>
    </xf>
    <xf numFmtId="0" fontId="4" fillId="0" borderId="0" xfId="3" applyFont="1" applyAlignment="1">
      <alignment horizontal="left" wrapText="1"/>
    </xf>
    <xf numFmtId="0" fontId="4" fillId="0" borderId="18" xfId="3" applyFont="1" applyBorder="1" applyAlignment="1">
      <alignment horizontal="left" wrapText="1"/>
    </xf>
    <xf numFmtId="0" fontId="17" fillId="2" borderId="0" xfId="2" applyFont="1" applyBorder="1" applyAlignment="1">
      <alignment horizontal="center" vertical="center"/>
    </xf>
    <xf numFmtId="0" fontId="18" fillId="0" borderId="0" xfId="0" applyFont="1" applyAlignment="1">
      <alignment horizontal="center" vertical="center"/>
    </xf>
    <xf numFmtId="0" fontId="2" fillId="0" borderId="0" xfId="3" applyFont="1" applyAlignment="1">
      <alignment horizontal="center" vertical="center"/>
    </xf>
    <xf numFmtId="0" fontId="0" fillId="0" borderId="0" xfId="0" applyAlignment="1">
      <alignment horizontal="center" vertical="center"/>
    </xf>
  </cellXfs>
  <cellStyles count="5">
    <cellStyle name="Currency 2" xfId="1" xr:uid="{00000000-0005-0000-0000-000000000000}"/>
    <cellStyle name="Input" xfId="2" builtinId="20"/>
    <cellStyle name="Normal" xfId="0" builtinId="0"/>
    <cellStyle name="Normal 2" xfId="3" xr:uid="{00000000-0005-0000-0000-000003000000}"/>
    <cellStyle name="Percent" xfId="4" builtinId="5"/>
  </cellStyles>
  <dxfs count="2">
    <dxf>
      <fill>
        <patternFill>
          <bgColor rgb="FFFFFF0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165466</xdr:colOff>
      <xdr:row>9</xdr:row>
      <xdr:rowOff>138938</xdr:rowOff>
    </xdr:from>
    <xdr:ext cx="7317704" cy="6040884"/>
    <xdr:sp macro="" textlink="">
      <xdr:nvSpPr>
        <xdr:cNvPr id="5" name="TextBox 4">
          <a:extLst>
            <a:ext uri="{FF2B5EF4-FFF2-40B4-BE49-F238E27FC236}">
              <a16:creationId xmlns:a16="http://schemas.microsoft.com/office/drawing/2014/main" id="{00000000-0008-0000-0000-000005000000}"/>
            </a:ext>
          </a:extLst>
        </xdr:cNvPr>
        <xdr:cNvSpPr txBox="1"/>
      </xdr:nvSpPr>
      <xdr:spPr>
        <a:xfrm rot="20362380">
          <a:off x="1049930" y="2805938"/>
          <a:ext cx="7317704" cy="6040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0" b="1">
              <a:solidFill>
                <a:schemeClr val="tx1">
                  <a:alpha val="20000"/>
                </a:schemeClr>
              </a:solidFill>
            </a:rPr>
            <a:t>DRAFT</a:t>
          </a:r>
        </a:p>
        <a:p>
          <a:r>
            <a:rPr lang="en-US" sz="4500" b="1">
              <a:solidFill>
                <a:schemeClr val="tx1">
                  <a:alpha val="20000"/>
                </a:schemeClr>
              </a:solidFill>
            </a:rPr>
            <a:t>This is a preliminary draft.</a:t>
          </a:r>
          <a:r>
            <a:rPr lang="en-US" sz="4500" b="1" baseline="0">
              <a:solidFill>
                <a:schemeClr val="tx1">
                  <a:alpha val="20000"/>
                </a:schemeClr>
              </a:solidFill>
            </a:rPr>
            <a:t>  Fees are subject to change.  Final fees will be calculated at plat recordation.</a:t>
          </a:r>
          <a:endParaRPr lang="en-US" sz="4500" b="1">
            <a:solidFill>
              <a:schemeClr val="tx1">
                <a:alpha val="20000"/>
              </a:schemeClr>
            </a:solidFill>
          </a:endParaRPr>
        </a:p>
      </xdr:txBody>
    </xdr:sp>
    <xdr:clientData/>
  </xdr:oneCellAnchor>
  <xdr:twoCellAnchor editAs="oneCell">
    <xdr:from>
      <xdr:col>0</xdr:col>
      <xdr:colOff>85725</xdr:colOff>
      <xdr:row>0</xdr:row>
      <xdr:rowOff>47625</xdr:rowOff>
    </xdr:from>
    <xdr:to>
      <xdr:col>1</xdr:col>
      <xdr:colOff>828675</xdr:colOff>
      <xdr:row>0</xdr:row>
      <xdr:rowOff>857967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5725" y="47625"/>
          <a:ext cx="1628775" cy="810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387326</xdr:colOff>
      <xdr:row>26</xdr:row>
      <xdr:rowOff>64976</xdr:rowOff>
    </xdr:from>
    <xdr:ext cx="2937920" cy="1344663"/>
    <xdr:sp macro="" textlink="">
      <xdr:nvSpPr>
        <xdr:cNvPr id="2" name="TextBox 1">
          <a:extLst>
            <a:ext uri="{FF2B5EF4-FFF2-40B4-BE49-F238E27FC236}">
              <a16:creationId xmlns:a16="http://schemas.microsoft.com/office/drawing/2014/main" id="{00000000-0008-0000-0100-000002000000}"/>
            </a:ext>
          </a:extLst>
        </xdr:cNvPr>
        <xdr:cNvSpPr txBox="1"/>
      </xdr:nvSpPr>
      <xdr:spPr>
        <a:xfrm rot="19616345">
          <a:off x="3177591" y="4905917"/>
          <a:ext cx="2937920" cy="13446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0">
              <a:solidFill>
                <a:schemeClr val="tx1">
                  <a:alpha val="35000"/>
                </a:schemeClr>
              </a:solidFill>
            </a:rPr>
            <a:t>DRAFT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95"/>
  <sheetViews>
    <sheetView tabSelected="1" view="pageBreakPreview" topLeftCell="B1" zoomScale="110" zoomScaleNormal="100" zoomScaleSheetLayoutView="110" workbookViewId="0">
      <selection activeCell="J63" sqref="J63"/>
    </sheetView>
  </sheetViews>
  <sheetFormatPr defaultColWidth="9.140625" defaultRowHeight="12.75" x14ac:dyDescent="0.2"/>
  <cols>
    <col min="1" max="1" width="13.28515625" style="1" customWidth="1"/>
    <col min="2" max="2" width="21.7109375" style="2" customWidth="1"/>
    <col min="3" max="3" width="41.7109375" style="1" customWidth="1"/>
    <col min="4" max="4" width="18.7109375" style="1" customWidth="1"/>
    <col min="5" max="5" width="12.5703125" style="7" customWidth="1"/>
    <col min="6" max="6" width="19.28515625" style="1" customWidth="1"/>
    <col min="7" max="7" width="21.140625" style="1" customWidth="1"/>
    <col min="8" max="16384" width="9.140625" style="1"/>
  </cols>
  <sheetData>
    <row r="1" spans="1:10" ht="70.5" customHeight="1" x14ac:dyDescent="0.25">
      <c r="F1" s="167" t="s">
        <v>136</v>
      </c>
      <c r="G1" s="168"/>
    </row>
    <row r="2" spans="1:10" ht="20.25" x14ac:dyDescent="0.3">
      <c r="B2" s="182" t="s">
        <v>128</v>
      </c>
      <c r="C2" s="183"/>
      <c r="D2" s="183"/>
      <c r="E2" s="183"/>
      <c r="F2" s="169" t="s">
        <v>134</v>
      </c>
      <c r="G2" s="170"/>
    </row>
    <row r="3" spans="1:10" ht="21" thickBot="1" x14ac:dyDescent="0.35">
      <c r="A3" s="159"/>
      <c r="B3" s="184" t="s">
        <v>120</v>
      </c>
      <c r="C3" s="185"/>
      <c r="D3" s="185"/>
      <c r="E3" s="185"/>
      <c r="F3" s="171" t="s">
        <v>135</v>
      </c>
      <c r="G3" s="172"/>
    </row>
    <row r="4" spans="1:10" ht="21" thickBot="1" x14ac:dyDescent="0.25">
      <c r="A4" s="197"/>
      <c r="B4" s="197"/>
      <c r="C4" s="197"/>
      <c r="D4" s="197"/>
      <c r="E4" s="197"/>
      <c r="F4" s="197"/>
      <c r="G4" s="197"/>
    </row>
    <row r="5" spans="1:10" ht="15" x14ac:dyDescent="0.25">
      <c r="A5" s="118"/>
      <c r="B5" s="166" t="s">
        <v>0</v>
      </c>
      <c r="C5" s="120"/>
      <c r="D5" s="120"/>
      <c r="E5" s="121"/>
      <c r="F5" s="120"/>
      <c r="G5" s="122"/>
    </row>
    <row r="6" spans="1:10" ht="15" x14ac:dyDescent="0.25">
      <c r="A6" s="123"/>
      <c r="C6" s="1" t="s">
        <v>2</v>
      </c>
      <c r="D6" s="124">
        <v>0</v>
      </c>
      <c r="E6" s="7" t="s">
        <v>62</v>
      </c>
      <c r="G6" s="125"/>
    </row>
    <row r="7" spans="1:10" ht="15" x14ac:dyDescent="0.25">
      <c r="A7" s="123"/>
      <c r="C7" s="1" t="s">
        <v>36</v>
      </c>
      <c r="D7" s="126">
        <f>'Irrigable Acerage Calc''s'!G87</f>
        <v>0</v>
      </c>
      <c r="E7" s="7" t="s">
        <v>37</v>
      </c>
      <c r="G7" s="125"/>
    </row>
    <row r="8" spans="1:10" ht="15.75" x14ac:dyDescent="0.25">
      <c r="A8" s="123"/>
      <c r="C8" s="1" t="s">
        <v>61</v>
      </c>
      <c r="D8" s="126">
        <v>0</v>
      </c>
      <c r="E8" s="7" t="s">
        <v>59</v>
      </c>
      <c r="G8" s="125"/>
      <c r="I8" s="160"/>
    </row>
    <row r="9" spans="1:10" ht="15" x14ac:dyDescent="0.25">
      <c r="A9" s="123"/>
      <c r="C9" s="1" t="s">
        <v>86</v>
      </c>
      <c r="D9" s="143" t="b">
        <v>0</v>
      </c>
      <c r="E9" s="7" t="s">
        <v>11</v>
      </c>
      <c r="G9" s="125"/>
    </row>
    <row r="10" spans="1:10" ht="15.75" thickBot="1" x14ac:dyDescent="0.3">
      <c r="A10" s="123"/>
      <c r="B10" s="151"/>
      <c r="C10" s="1" t="s">
        <v>85</v>
      </c>
      <c r="D10" s="143" t="b">
        <v>1</v>
      </c>
      <c r="E10" s="7" t="s">
        <v>11</v>
      </c>
      <c r="G10" s="125"/>
      <c r="H10" s="1" t="s">
        <v>123</v>
      </c>
    </row>
    <row r="11" spans="1:10" x14ac:dyDescent="0.2">
      <c r="A11" s="118"/>
      <c r="B11" s="119"/>
      <c r="C11" s="120"/>
      <c r="D11" s="120"/>
      <c r="E11" s="121"/>
      <c r="F11" s="120"/>
      <c r="G11" s="122"/>
    </row>
    <row r="12" spans="1:10" ht="15" x14ac:dyDescent="0.25">
      <c r="A12" s="123"/>
      <c r="B12" s="163" t="s">
        <v>70</v>
      </c>
      <c r="G12" s="125"/>
    </row>
    <row r="13" spans="1:10" ht="15" customHeight="1" x14ac:dyDescent="0.2">
      <c r="A13" s="123"/>
      <c r="C13" s="1" t="s">
        <v>3</v>
      </c>
      <c r="D13" s="1">
        <v>0.3</v>
      </c>
      <c r="E13" s="132" t="s">
        <v>13</v>
      </c>
      <c r="F13" s="193" t="str">
        <f>IF(D10=TRUE,"","Assignment of State Engineer certified water rights and accepted by the City Attorney prior to Plat Recordation.")</f>
        <v/>
      </c>
      <c r="G13" s="194"/>
      <c r="J13" s="6"/>
    </row>
    <row r="14" spans="1:10" ht="13.5" customHeight="1" thickBot="1" x14ac:dyDescent="0.25">
      <c r="A14" s="123"/>
      <c r="C14" s="2" t="s">
        <v>71</v>
      </c>
      <c r="D14" s="109">
        <f>ROUND(D6*D13,2)</f>
        <v>0</v>
      </c>
      <c r="E14" s="132" t="s">
        <v>13</v>
      </c>
      <c r="F14" s="193"/>
      <c r="G14" s="194"/>
    </row>
    <row r="15" spans="1:10" ht="15.75" customHeight="1" thickBot="1" x14ac:dyDescent="0.25">
      <c r="A15" s="123"/>
      <c r="B15" s="133" t="s">
        <v>110</v>
      </c>
      <c r="E15" s="132"/>
      <c r="F15" s="195"/>
      <c r="G15" s="196"/>
    </row>
    <row r="16" spans="1:10" x14ac:dyDescent="0.2">
      <c r="A16" s="118"/>
      <c r="B16" s="119"/>
      <c r="C16" s="120"/>
      <c r="D16" s="120"/>
      <c r="E16" s="121"/>
      <c r="F16" s="120"/>
      <c r="G16" s="122"/>
    </row>
    <row r="17" spans="1:8" ht="15" x14ac:dyDescent="0.25">
      <c r="A17" s="123"/>
      <c r="B17" s="163" t="s">
        <v>84</v>
      </c>
      <c r="G17" s="125"/>
    </row>
    <row r="18" spans="1:8" ht="25.5" customHeight="1" x14ac:dyDescent="0.2">
      <c r="A18" s="123"/>
      <c r="C18" s="1" t="s">
        <v>3</v>
      </c>
      <c r="D18" s="1">
        <v>0.3</v>
      </c>
      <c r="E18" s="132" t="s">
        <v>13</v>
      </c>
      <c r="G18" s="125"/>
    </row>
    <row r="19" spans="1:8" ht="13.5" thickBot="1" x14ac:dyDescent="0.25">
      <c r="A19" s="123"/>
      <c r="C19" s="2" t="s">
        <v>71</v>
      </c>
      <c r="D19" s="109">
        <f>ROUND(D6*D18,2)</f>
        <v>0</v>
      </c>
      <c r="E19" s="132" t="s">
        <v>13</v>
      </c>
      <c r="G19" s="125"/>
    </row>
    <row r="20" spans="1:8" x14ac:dyDescent="0.2">
      <c r="A20" s="123"/>
      <c r="E20" s="132"/>
      <c r="G20" s="125"/>
    </row>
    <row r="21" spans="1:8" ht="15" x14ac:dyDescent="0.25">
      <c r="A21" s="123"/>
      <c r="C21" s="1" t="s">
        <v>109</v>
      </c>
      <c r="D21" s="157">
        <v>18274</v>
      </c>
      <c r="E21" s="189"/>
      <c r="F21" s="189"/>
      <c r="G21" s="190"/>
      <c r="H21" s="1" t="s">
        <v>132</v>
      </c>
    </row>
    <row r="22" spans="1:8" ht="18.75" customHeight="1" thickBot="1" x14ac:dyDescent="0.3">
      <c r="A22" s="127"/>
      <c r="B22" s="133" t="s">
        <v>111</v>
      </c>
      <c r="C22" s="161" t="s">
        <v>72</v>
      </c>
      <c r="D22" s="162">
        <f>IF(D10=TRUE,ROUND(D19*D21,2),0)</f>
        <v>0</v>
      </c>
      <c r="E22" s="191"/>
      <c r="F22" s="191"/>
      <c r="G22" s="192"/>
    </row>
    <row r="23" spans="1:8" x14ac:dyDescent="0.2">
      <c r="A23" s="118"/>
      <c r="B23" s="119"/>
      <c r="C23" s="120"/>
      <c r="D23" s="134"/>
      <c r="E23" s="135"/>
      <c r="F23" s="120"/>
      <c r="G23" s="122"/>
    </row>
    <row r="24" spans="1:8" ht="15" x14ac:dyDescent="0.25">
      <c r="A24" s="123"/>
      <c r="B24" s="163" t="s">
        <v>40</v>
      </c>
      <c r="E24" s="132"/>
      <c r="G24" s="125"/>
    </row>
    <row r="25" spans="1:8" x14ac:dyDescent="0.2">
      <c r="A25" s="123"/>
      <c r="C25" s="1" t="s">
        <v>12</v>
      </c>
      <c r="D25" s="1">
        <v>3.13</v>
      </c>
      <c r="E25" s="132" t="s">
        <v>13</v>
      </c>
      <c r="G25" s="125"/>
    </row>
    <row r="26" spans="1:8" ht="15.75" thickBot="1" x14ac:dyDescent="0.3">
      <c r="A26" s="123"/>
      <c r="C26" s="163" t="s">
        <v>42</v>
      </c>
      <c r="D26" s="164">
        <f>ROUND(D7*D25,2)</f>
        <v>0</v>
      </c>
      <c r="E26" s="132" t="s">
        <v>13</v>
      </c>
      <c r="G26" s="125"/>
    </row>
    <row r="27" spans="1:8" x14ac:dyDescent="0.2">
      <c r="A27" s="123"/>
      <c r="G27" s="125"/>
    </row>
    <row r="28" spans="1:8" ht="15" customHeight="1" x14ac:dyDescent="0.2">
      <c r="A28" s="123"/>
      <c r="C28" s="1" t="s">
        <v>4</v>
      </c>
      <c r="D28" s="173">
        <f>10999/3.13</f>
        <v>3514.0575079872206</v>
      </c>
      <c r="E28" s="174"/>
      <c r="F28" s="175"/>
      <c r="G28" s="176"/>
      <c r="H28" s="1" t="s">
        <v>139</v>
      </c>
    </row>
    <row r="29" spans="1:8" ht="15.75" thickBot="1" x14ac:dyDescent="0.3">
      <c r="A29" s="127"/>
      <c r="B29" s="133" t="s">
        <v>143</v>
      </c>
      <c r="C29" s="161" t="s">
        <v>38</v>
      </c>
      <c r="D29" s="177">
        <f>ROUND(D26*D28,2)</f>
        <v>0</v>
      </c>
      <c r="E29" s="178"/>
      <c r="F29" s="178"/>
      <c r="G29" s="179"/>
    </row>
    <row r="30" spans="1:8" x14ac:dyDescent="0.2">
      <c r="A30" s="118"/>
      <c r="B30" s="119"/>
      <c r="C30" s="120"/>
      <c r="D30" s="120"/>
      <c r="E30" s="121"/>
      <c r="F30" s="120"/>
      <c r="G30" s="122"/>
    </row>
    <row r="31" spans="1:8" ht="15" x14ac:dyDescent="0.25">
      <c r="A31" s="123"/>
      <c r="B31" s="163" t="s">
        <v>118</v>
      </c>
      <c r="G31" s="125"/>
    </row>
    <row r="32" spans="1:8" x14ac:dyDescent="0.2">
      <c r="A32" s="123"/>
      <c r="C32" s="1" t="s">
        <v>129</v>
      </c>
      <c r="D32" s="180">
        <f>D7</f>
        <v>0</v>
      </c>
      <c r="E32" s="132"/>
      <c r="F32" s="14"/>
      <c r="G32" s="125"/>
    </row>
    <row r="33" spans="1:22" x14ac:dyDescent="0.2">
      <c r="A33" s="123"/>
      <c r="C33" s="1" t="s">
        <v>49</v>
      </c>
      <c r="D33" s="173">
        <v>41694</v>
      </c>
      <c r="F33" s="14"/>
      <c r="G33" s="176"/>
      <c r="H33" s="202" t="s">
        <v>140</v>
      </c>
      <c r="I33" s="203"/>
      <c r="J33" s="203"/>
      <c r="K33" s="203"/>
      <c r="L33" s="203"/>
      <c r="M33" s="203"/>
      <c r="N33" s="203"/>
      <c r="O33" s="203"/>
      <c r="P33" s="203"/>
      <c r="Q33" s="203"/>
      <c r="R33" s="203"/>
      <c r="S33" s="203"/>
      <c r="T33" s="203"/>
      <c r="U33" s="203"/>
      <c r="V33" s="203"/>
    </row>
    <row r="34" spans="1:22" x14ac:dyDescent="0.2">
      <c r="A34" s="123"/>
      <c r="F34" s="14"/>
      <c r="G34" s="125"/>
    </row>
    <row r="35" spans="1:22" ht="13.9" customHeight="1" thickBot="1" x14ac:dyDescent="0.3">
      <c r="A35" s="123"/>
      <c r="B35" s="88" t="s">
        <v>112</v>
      </c>
      <c r="C35" s="163" t="s">
        <v>48</v>
      </c>
      <c r="D35" s="162">
        <f>IF(D9=TRUE, 0,D33*D32)</f>
        <v>0</v>
      </c>
      <c r="E35" s="198"/>
      <c r="F35" s="198"/>
      <c r="G35" s="199"/>
    </row>
    <row r="36" spans="1:22" ht="12.75" customHeight="1" thickBot="1" x14ac:dyDescent="0.3">
      <c r="A36" s="123"/>
      <c r="B36" s="88" t="s">
        <v>112</v>
      </c>
      <c r="C36" s="163" t="s">
        <v>77</v>
      </c>
      <c r="D36" s="165">
        <f>IF(D9=TRUE, MAX(0,D32*D33-D50), 0)</f>
        <v>0</v>
      </c>
      <c r="E36" s="200"/>
      <c r="F36" s="200"/>
      <c r="G36" s="201"/>
      <c r="N36" s="108"/>
      <c r="O36" s="108"/>
      <c r="P36" s="108"/>
      <c r="Q36" s="108"/>
    </row>
    <row r="37" spans="1:22" x14ac:dyDescent="0.2">
      <c r="A37" s="118"/>
      <c r="B37" s="137"/>
      <c r="C37" s="119"/>
      <c r="D37" s="138"/>
      <c r="E37" s="121"/>
      <c r="F37" s="139"/>
      <c r="G37" s="122"/>
      <c r="N37" s="108"/>
      <c r="O37" s="108"/>
      <c r="P37" s="108"/>
      <c r="Q37" s="108"/>
    </row>
    <row r="38" spans="1:22" ht="12.75" customHeight="1" x14ac:dyDescent="0.25">
      <c r="A38" s="123"/>
      <c r="B38" s="163" t="s">
        <v>56</v>
      </c>
      <c r="C38" s="2"/>
      <c r="D38" s="5"/>
      <c r="F38" s="14"/>
      <c r="G38" s="125"/>
      <c r="N38" s="108"/>
      <c r="O38" s="108"/>
      <c r="P38" s="108"/>
      <c r="Q38" s="108"/>
    </row>
    <row r="39" spans="1:22" ht="12.75" customHeight="1" x14ac:dyDescent="0.2">
      <c r="A39" s="123"/>
      <c r="C39" s="1" t="s">
        <v>130</v>
      </c>
      <c r="D39" s="152">
        <f>D8</f>
        <v>0</v>
      </c>
      <c r="F39" s="14"/>
      <c r="G39" s="125"/>
      <c r="N39" s="108"/>
      <c r="O39" s="108"/>
      <c r="P39" s="108"/>
      <c r="Q39" s="108"/>
    </row>
    <row r="40" spans="1:22" ht="12.75" customHeight="1" x14ac:dyDescent="0.2">
      <c r="A40" s="123"/>
      <c r="C40" s="1" t="s">
        <v>57</v>
      </c>
      <c r="D40" s="158">
        <v>2585</v>
      </c>
      <c r="F40" s="14"/>
      <c r="G40" s="125"/>
      <c r="H40" s="1" t="s">
        <v>133</v>
      </c>
      <c r="N40" s="108"/>
      <c r="O40" s="108"/>
      <c r="P40" s="108"/>
      <c r="Q40" s="108"/>
    </row>
    <row r="41" spans="1:22" x14ac:dyDescent="0.2">
      <c r="A41" s="123"/>
      <c r="C41" s="2"/>
      <c r="D41" s="5"/>
      <c r="F41" s="14"/>
      <c r="G41" s="125"/>
      <c r="N41" s="108"/>
      <c r="O41" s="108"/>
      <c r="P41" s="108"/>
      <c r="Q41" s="108"/>
    </row>
    <row r="42" spans="1:22" ht="15.75" thickBot="1" x14ac:dyDescent="0.3">
      <c r="A42" s="127"/>
      <c r="B42" s="133" t="s">
        <v>113</v>
      </c>
      <c r="C42" s="161" t="s">
        <v>58</v>
      </c>
      <c r="D42" s="162">
        <f>ROUND(D39*D40,2)</f>
        <v>0</v>
      </c>
      <c r="E42" s="129"/>
      <c r="F42" s="136"/>
      <c r="G42" s="131"/>
      <c r="N42" s="108"/>
      <c r="O42" s="108"/>
      <c r="P42" s="108"/>
      <c r="Q42" s="108"/>
    </row>
    <row r="43" spans="1:22" ht="15" customHeight="1" x14ac:dyDescent="0.2">
      <c r="A43" s="118"/>
      <c r="B43" s="119"/>
      <c r="C43" s="119"/>
      <c r="D43" s="138"/>
      <c r="E43" s="214" t="s">
        <v>116</v>
      </c>
      <c r="F43" s="214"/>
      <c r="G43" s="215"/>
      <c r="N43" s="108"/>
      <c r="O43" s="108"/>
      <c r="P43" s="108"/>
      <c r="Q43" s="108"/>
    </row>
    <row r="44" spans="1:22" ht="15" x14ac:dyDescent="0.25">
      <c r="A44" s="123"/>
      <c r="B44" s="163" t="s">
        <v>63</v>
      </c>
      <c r="D44" s="107"/>
      <c r="E44" s="216"/>
      <c r="F44" s="216"/>
      <c r="G44" s="217"/>
      <c r="N44" s="108"/>
      <c r="O44" s="108"/>
      <c r="P44" s="108"/>
      <c r="Q44" s="108"/>
    </row>
    <row r="45" spans="1:22" ht="28.5" customHeight="1" x14ac:dyDescent="0.2">
      <c r="A45" s="123"/>
      <c r="C45" s="1" t="s">
        <v>5</v>
      </c>
      <c r="D45" s="9">
        <f>IF(D9=TRUE,D44/D8,0)</f>
        <v>0</v>
      </c>
      <c r="F45" s="14"/>
      <c r="G45" s="125"/>
      <c r="I45" s="204" t="s">
        <v>66</v>
      </c>
      <c r="J45" s="204"/>
      <c r="K45" s="204"/>
      <c r="L45" s="204"/>
      <c r="M45" s="204"/>
      <c r="N45" s="108"/>
      <c r="O45" s="108"/>
      <c r="P45" s="108"/>
      <c r="Q45" s="108"/>
    </row>
    <row r="46" spans="1:22" ht="13.5" customHeight="1" x14ac:dyDescent="0.2">
      <c r="A46" s="123"/>
      <c r="C46" s="1" t="s">
        <v>6</v>
      </c>
      <c r="D46" s="9">
        <f>D45*0.33</f>
        <v>0</v>
      </c>
      <c r="F46" s="14"/>
      <c r="G46" s="125"/>
      <c r="I46" s="204"/>
      <c r="J46" s="204"/>
      <c r="K46" s="204"/>
      <c r="L46" s="204"/>
      <c r="M46" s="204"/>
      <c r="N46" s="108"/>
      <c r="O46" s="108"/>
      <c r="P46" s="108"/>
      <c r="Q46" s="108"/>
    </row>
    <row r="47" spans="1:22" ht="14.25" customHeight="1" x14ac:dyDescent="0.2">
      <c r="A47" s="123"/>
      <c r="C47" s="1" t="s">
        <v>7</v>
      </c>
      <c r="D47" s="9">
        <f>D45*0.67</f>
        <v>0</v>
      </c>
      <c r="F47" s="14"/>
      <c r="G47" s="140"/>
      <c r="I47" s="204"/>
      <c r="J47" s="204"/>
      <c r="K47" s="204"/>
      <c r="L47" s="204"/>
      <c r="M47" s="204"/>
    </row>
    <row r="48" spans="1:22" x14ac:dyDescent="0.2">
      <c r="A48" s="123"/>
      <c r="F48" s="14"/>
      <c r="G48" s="125"/>
      <c r="I48" s="204"/>
      <c r="J48" s="204"/>
      <c r="K48" s="204"/>
      <c r="L48" s="204"/>
      <c r="M48" s="204"/>
    </row>
    <row r="49" spans="1:13" ht="15.75" thickBot="1" x14ac:dyDescent="0.3">
      <c r="A49" s="123"/>
      <c r="B49" s="155" t="s">
        <v>114</v>
      </c>
      <c r="C49" s="163" t="s">
        <v>76</v>
      </c>
      <c r="D49" s="162">
        <f>ROUND(D44/3,2)</f>
        <v>0</v>
      </c>
      <c r="E49" s="7" t="s">
        <v>9</v>
      </c>
      <c r="F49" s="14"/>
      <c r="G49" s="125"/>
      <c r="I49" s="204"/>
      <c r="J49" s="204"/>
      <c r="K49" s="204"/>
      <c r="L49" s="204"/>
      <c r="M49" s="204"/>
    </row>
    <row r="50" spans="1:13" ht="22.5" customHeight="1" thickBot="1" x14ac:dyDescent="0.3">
      <c r="A50" s="123"/>
      <c r="B50" s="155" t="s">
        <v>114</v>
      </c>
      <c r="C50" s="163" t="s">
        <v>78</v>
      </c>
      <c r="D50" s="162">
        <f>ROUND(D44*2/3,2)</f>
        <v>0</v>
      </c>
      <c r="E50" s="7" t="s">
        <v>8</v>
      </c>
      <c r="F50" s="14"/>
      <c r="G50" s="125"/>
      <c r="I50" s="204"/>
      <c r="J50" s="204"/>
      <c r="K50" s="204"/>
      <c r="L50" s="204"/>
      <c r="M50" s="204"/>
    </row>
    <row r="51" spans="1:13" x14ac:dyDescent="0.2">
      <c r="A51" s="123"/>
      <c r="C51" s="2"/>
      <c r="D51" s="5"/>
      <c r="E51" s="14"/>
      <c r="G51" s="125"/>
      <c r="I51" s="204"/>
      <c r="J51" s="204"/>
      <c r="K51" s="204"/>
      <c r="L51" s="204"/>
      <c r="M51" s="204"/>
    </row>
    <row r="52" spans="1:13" ht="27.75" customHeight="1" thickBot="1" x14ac:dyDescent="0.25">
      <c r="A52" s="127"/>
      <c r="B52" s="205" t="s">
        <v>65</v>
      </c>
      <c r="C52" s="205"/>
      <c r="D52" s="205"/>
      <c r="E52" s="205"/>
      <c r="F52" s="205"/>
      <c r="G52" s="206"/>
      <c r="I52" s="204"/>
      <c r="J52" s="204"/>
      <c r="K52" s="204"/>
      <c r="L52" s="204"/>
      <c r="M52" s="204"/>
    </row>
    <row r="53" spans="1:13" ht="16.5" customHeight="1" x14ac:dyDescent="0.2">
      <c r="A53" s="118"/>
      <c r="B53" s="141"/>
      <c r="C53" s="141"/>
      <c r="D53" s="141"/>
      <c r="E53" s="141"/>
      <c r="F53" s="141"/>
      <c r="G53" s="142"/>
      <c r="I53" s="204"/>
      <c r="J53" s="204"/>
      <c r="K53" s="204"/>
      <c r="L53" s="204"/>
      <c r="M53" s="204"/>
    </row>
    <row r="54" spans="1:13" ht="13.5" customHeight="1" x14ac:dyDescent="0.25">
      <c r="A54" s="123"/>
      <c r="B54" s="163" t="s">
        <v>82</v>
      </c>
      <c r="G54" s="125"/>
    </row>
    <row r="55" spans="1:13" x14ac:dyDescent="0.2">
      <c r="A55" s="123"/>
      <c r="C55" s="8" t="s">
        <v>41</v>
      </c>
      <c r="D55" s="86">
        <f>D14+D26</f>
        <v>0</v>
      </c>
      <c r="G55" s="125"/>
    </row>
    <row r="56" spans="1:13" x14ac:dyDescent="0.2">
      <c r="A56" s="123"/>
      <c r="C56" s="8" t="s">
        <v>73</v>
      </c>
      <c r="D56" s="9">
        <f>D22+D49</f>
        <v>0</v>
      </c>
      <c r="E56" s="7" t="s">
        <v>87</v>
      </c>
      <c r="F56" s="14"/>
      <c r="G56" s="125"/>
    </row>
    <row r="57" spans="1:13" ht="20.25" customHeight="1" x14ac:dyDescent="0.25">
      <c r="A57" s="123"/>
      <c r="C57" s="10" t="s">
        <v>10</v>
      </c>
      <c r="D57" s="11">
        <f>D29+MAX(D36,D35)+D50</f>
        <v>0</v>
      </c>
      <c r="E57" s="186" t="s">
        <v>64</v>
      </c>
      <c r="F57" s="187"/>
      <c r="G57" s="188"/>
    </row>
    <row r="58" spans="1:13" x14ac:dyDescent="0.2">
      <c r="A58" s="123"/>
      <c r="C58" s="8" t="s">
        <v>60</v>
      </c>
      <c r="D58" s="9">
        <f>D42</f>
        <v>0</v>
      </c>
      <c r="G58" s="125"/>
    </row>
    <row r="59" spans="1:13" x14ac:dyDescent="0.2">
      <c r="A59" s="123"/>
      <c r="C59" s="3"/>
      <c r="D59" s="4"/>
      <c r="F59" s="207" t="s">
        <v>83</v>
      </c>
      <c r="G59" s="208"/>
    </row>
    <row r="60" spans="1:13" ht="16.5" thickBot="1" x14ac:dyDescent="0.3">
      <c r="A60" s="123"/>
      <c r="B60" s="211" t="str">
        <f>IF(D10=TRUE,"Total Water Fees Required for Recordation","Total Water Fees Required for Recordation - Additional Water Rights are Required prior to Plat Recordation see above")</f>
        <v>Total Water Fees Required for Recordation</v>
      </c>
      <c r="C60" s="211"/>
      <c r="D60" s="87">
        <f>D56+D57+D58</f>
        <v>0</v>
      </c>
      <c r="F60" s="207"/>
      <c r="G60" s="208"/>
    </row>
    <row r="61" spans="1:13" ht="15.75" x14ac:dyDescent="0.25">
      <c r="A61" s="123"/>
      <c r="B61" s="211"/>
      <c r="C61" s="211"/>
      <c r="D61" s="144"/>
      <c r="F61" s="207"/>
      <c r="G61" s="208"/>
    </row>
    <row r="62" spans="1:13" ht="13.5" thickBot="1" x14ac:dyDescent="0.25">
      <c r="A62" s="127"/>
      <c r="B62" s="128"/>
      <c r="C62" s="130"/>
      <c r="D62" s="130"/>
      <c r="E62" s="129"/>
      <c r="F62" s="209"/>
      <c r="G62" s="210"/>
    </row>
    <row r="63" spans="1:13" ht="15" customHeight="1" x14ac:dyDescent="0.2">
      <c r="B63" s="212" t="s">
        <v>115</v>
      </c>
      <c r="C63" s="212"/>
      <c r="D63" s="212"/>
      <c r="E63" s="212"/>
      <c r="F63" s="212"/>
    </row>
    <row r="64" spans="1:13" ht="12.75" customHeight="1" x14ac:dyDescent="0.2">
      <c r="B64" s="213"/>
      <c r="C64" s="213"/>
      <c r="D64" s="213"/>
      <c r="E64" s="213"/>
      <c r="F64" s="213"/>
    </row>
    <row r="65" spans="2:11" ht="12.75" customHeight="1" x14ac:dyDescent="0.2">
      <c r="B65" s="213"/>
      <c r="C65" s="213"/>
      <c r="D65" s="213"/>
      <c r="E65" s="213"/>
      <c r="F65" s="213"/>
    </row>
    <row r="66" spans="2:11" x14ac:dyDescent="0.2">
      <c r="D66" s="114" t="s">
        <v>55</v>
      </c>
      <c r="E66" s="1"/>
    </row>
    <row r="67" spans="2:11" x14ac:dyDescent="0.2">
      <c r="D67" s="115" t="s">
        <v>43</v>
      </c>
      <c r="E67" s="88"/>
    </row>
    <row r="68" spans="2:11" x14ac:dyDescent="0.2">
      <c r="C68" s="114" t="s">
        <v>80</v>
      </c>
      <c r="D68" s="111"/>
      <c r="E68" s="88"/>
    </row>
    <row r="69" spans="2:11" ht="27" customHeight="1" x14ac:dyDescent="0.2">
      <c r="C69" s="116" t="s">
        <v>121</v>
      </c>
      <c r="D69" s="113"/>
      <c r="E69" s="88"/>
    </row>
    <row r="70" spans="2:11" x14ac:dyDescent="0.2">
      <c r="C70" s="117" t="s">
        <v>74</v>
      </c>
      <c r="D70" s="102">
        <v>2019</v>
      </c>
      <c r="E70" s="1" t="s">
        <v>138</v>
      </c>
      <c r="G70" s="181"/>
      <c r="H70" s="1" t="s">
        <v>141</v>
      </c>
    </row>
    <row r="71" spans="2:11" x14ac:dyDescent="0.2">
      <c r="C71" s="100" t="s">
        <v>75</v>
      </c>
      <c r="D71" s="101">
        <v>264</v>
      </c>
      <c r="E71" s="106"/>
      <c r="G71" s="181"/>
      <c r="H71" s="203" t="s">
        <v>137</v>
      </c>
      <c r="I71" s="203"/>
      <c r="J71" s="203"/>
      <c r="K71" s="203"/>
    </row>
    <row r="72" spans="2:11" x14ac:dyDescent="0.2">
      <c r="C72" s="100" t="s">
        <v>44</v>
      </c>
      <c r="D72" s="101">
        <v>5793</v>
      </c>
      <c r="E72" s="106"/>
      <c r="H72" s="1" t="s">
        <v>144</v>
      </c>
    </row>
    <row r="73" spans="2:11" x14ac:dyDescent="0.2">
      <c r="C73" s="89" t="s">
        <v>81</v>
      </c>
      <c r="D73" s="90"/>
      <c r="E73" s="106"/>
    </row>
    <row r="74" spans="2:11" x14ac:dyDescent="0.2">
      <c r="C74" s="112" t="s">
        <v>51</v>
      </c>
      <c r="D74" s="102">
        <v>1217.18</v>
      </c>
      <c r="E74" s="154"/>
      <c r="H74" s="1" t="s">
        <v>131</v>
      </c>
    </row>
    <row r="75" spans="2:11" x14ac:dyDescent="0.2">
      <c r="C75" s="100" t="s">
        <v>46</v>
      </c>
      <c r="D75" s="101">
        <v>5627.14</v>
      </c>
      <c r="E75" s="106"/>
      <c r="H75" s="1" t="s">
        <v>142</v>
      </c>
    </row>
    <row r="76" spans="2:11" x14ac:dyDescent="0.2">
      <c r="C76" s="100"/>
      <c r="D76" s="101"/>
      <c r="E76" s="106"/>
    </row>
    <row r="77" spans="2:11" x14ac:dyDescent="0.2">
      <c r="C77" s="100" t="s">
        <v>45</v>
      </c>
      <c r="D77" s="101">
        <v>467.21</v>
      </c>
      <c r="E77" s="106"/>
      <c r="H77" s="1" t="s">
        <v>119</v>
      </c>
    </row>
    <row r="78" spans="2:11" ht="13.5" thickBot="1" x14ac:dyDescent="0.25">
      <c r="C78" s="103" t="s">
        <v>122</v>
      </c>
      <c r="D78" s="91">
        <f>IF(D67=A89,1016,IF(D67=A90,575,IF(D67=A91,452,IF(D67=A92,370,0))))</f>
        <v>1016</v>
      </c>
      <c r="E78" s="104"/>
      <c r="H78" s="1" t="s">
        <v>127</v>
      </c>
    </row>
    <row r="79" spans="2:11" ht="13.5" thickTop="1" x14ac:dyDescent="0.2">
      <c r="C79" s="93" t="s">
        <v>47</v>
      </c>
      <c r="D79" s="92">
        <f>SUM(D70:D78)</f>
        <v>16403.53</v>
      </c>
      <c r="E79" s="105"/>
    </row>
    <row r="80" spans="2:11" x14ac:dyDescent="0.2">
      <c r="C80" s="14"/>
      <c r="D80" s="110"/>
      <c r="E80" s="110"/>
    </row>
    <row r="81" spans="1:3" x14ac:dyDescent="0.2">
      <c r="C81" s="14" t="s">
        <v>67</v>
      </c>
    </row>
    <row r="83" spans="1:3" x14ac:dyDescent="0.2">
      <c r="A83" s="1" t="s">
        <v>50</v>
      </c>
    </row>
    <row r="84" spans="1:3" x14ac:dyDescent="0.2">
      <c r="A84" s="1" t="s">
        <v>51</v>
      </c>
    </row>
    <row r="85" spans="1:3" x14ac:dyDescent="0.2">
      <c r="A85" s="1" t="s">
        <v>52</v>
      </c>
    </row>
    <row r="86" spans="1:3" x14ac:dyDescent="0.2">
      <c r="A86" s="1" t="s">
        <v>53</v>
      </c>
    </row>
    <row r="87" spans="1:3" x14ac:dyDescent="0.2">
      <c r="A87" s="1" t="s">
        <v>54</v>
      </c>
    </row>
    <row r="88" spans="1:3" x14ac:dyDescent="0.2">
      <c r="A88" s="1" t="s">
        <v>55</v>
      </c>
    </row>
    <row r="89" spans="1:3" x14ac:dyDescent="0.2">
      <c r="A89" s="1" t="s">
        <v>43</v>
      </c>
    </row>
    <row r="90" spans="1:3" x14ac:dyDescent="0.2">
      <c r="A90" s="1" t="s">
        <v>124</v>
      </c>
    </row>
    <row r="91" spans="1:3" x14ac:dyDescent="0.2">
      <c r="A91" s="1" t="s">
        <v>125</v>
      </c>
    </row>
    <row r="92" spans="1:3" x14ac:dyDescent="0.2">
      <c r="A92" s="156" t="s">
        <v>126</v>
      </c>
    </row>
    <row r="93" spans="1:3" x14ac:dyDescent="0.2">
      <c r="A93" s="99"/>
    </row>
    <row r="94" spans="1:3" x14ac:dyDescent="0.2">
      <c r="A94" s="1" t="s">
        <v>121</v>
      </c>
    </row>
    <row r="95" spans="1:3" x14ac:dyDescent="0.2">
      <c r="A95" s="1" t="s">
        <v>79</v>
      </c>
    </row>
  </sheetData>
  <mergeCells count="15">
    <mergeCell ref="H33:V33"/>
    <mergeCell ref="H71:K71"/>
    <mergeCell ref="I45:M53"/>
    <mergeCell ref="B52:G52"/>
    <mergeCell ref="F59:G62"/>
    <mergeCell ref="B60:C61"/>
    <mergeCell ref="B63:F65"/>
    <mergeCell ref="E43:G44"/>
    <mergeCell ref="B2:E2"/>
    <mergeCell ref="B3:E3"/>
    <mergeCell ref="E57:G57"/>
    <mergeCell ref="E21:G22"/>
    <mergeCell ref="F13:G15"/>
    <mergeCell ref="A4:G4"/>
    <mergeCell ref="E35:G36"/>
  </mergeCells>
  <conditionalFormatting sqref="B10">
    <cfRule type="cellIs" dxfId="1" priority="1" operator="equal">
      <formula>"GL # 58-3891-150"</formula>
    </cfRule>
    <cfRule type="cellIs" dxfId="0" priority="2" operator="equal">
      <formula>"GL # 58-3891-155"</formula>
    </cfRule>
  </conditionalFormatting>
  <dataValidations count="3">
    <dataValidation type="list" allowBlank="1" showInputMessage="1" showErrorMessage="1" sqref="C74" xr:uid="{00000000-0002-0000-0000-000000000000}">
      <formula1>$A$83:$A$87</formula1>
    </dataValidation>
    <dataValidation type="list" allowBlank="1" showInputMessage="1" showErrorMessage="1" sqref="D67" xr:uid="{00000000-0002-0000-0000-000001000000}">
      <formula1>$A$89:$A$92</formula1>
    </dataValidation>
    <dataValidation type="list" allowBlank="1" showInputMessage="1" showErrorMessage="1" sqref="C69" xr:uid="{00000000-0002-0000-0000-000002000000}">
      <formula1>$A$94:$A$95</formula1>
    </dataValidation>
  </dataValidations>
  <pageMargins left="0.7" right="0.7" top="0.75" bottom="0.75" header="0.3" footer="0.3"/>
  <pageSetup scale="56" orientation="portrait" r:id="rId1"/>
  <headerFooter>
    <oddFooter>&amp;L&amp;D  &amp;T&amp;R&amp;P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90"/>
  <sheetViews>
    <sheetView view="pageBreakPreview" topLeftCell="A39" zoomScale="85" zoomScaleNormal="100" zoomScaleSheetLayoutView="85" workbookViewId="0">
      <selection activeCell="C17" sqref="C17"/>
    </sheetView>
  </sheetViews>
  <sheetFormatPr defaultColWidth="9.140625" defaultRowHeight="12.75" x14ac:dyDescent="0.2"/>
  <cols>
    <col min="1" max="1" width="14.5703125" style="12" customWidth="1"/>
    <col min="2" max="2" width="27.140625" style="12" customWidth="1"/>
    <col min="3" max="3" width="13.140625" style="13" customWidth="1"/>
    <col min="4" max="4" width="13.5703125" style="13" customWidth="1"/>
    <col min="5" max="5" width="9.140625" style="13"/>
    <col min="6" max="6" width="13.42578125" style="13" customWidth="1"/>
    <col min="7" max="7" width="22" style="13" customWidth="1"/>
    <col min="8" max="16384" width="9.140625" style="12"/>
  </cols>
  <sheetData>
    <row r="1" spans="2:10" s="16" customFormat="1" ht="20.25" x14ac:dyDescent="0.25">
      <c r="B1" s="218" t="str">
        <f>'Residential Water Fees @ Record'!B2:E2</f>
        <v>Project Name</v>
      </c>
      <c r="C1" s="219"/>
      <c r="D1" s="219"/>
      <c r="E1" s="219"/>
      <c r="F1" s="15"/>
      <c r="G1" s="15"/>
    </row>
    <row r="2" spans="2:10" s="16" customFormat="1" ht="20.25" x14ac:dyDescent="0.25">
      <c r="B2" s="220" t="s">
        <v>117</v>
      </c>
      <c r="C2" s="221"/>
      <c r="D2" s="221"/>
      <c r="E2" s="221"/>
      <c r="F2" s="15"/>
      <c r="G2" s="15"/>
    </row>
    <row r="3" spans="2:10" s="16" customFormat="1" ht="20.25" x14ac:dyDescent="0.25">
      <c r="B3" s="17"/>
      <c r="C3" s="18"/>
      <c r="D3" s="18"/>
      <c r="E3" s="18"/>
      <c r="F3" s="15"/>
      <c r="G3" s="15"/>
    </row>
    <row r="4" spans="2:10" s="16" customFormat="1" ht="15.75" x14ac:dyDescent="0.25">
      <c r="B4" s="19" t="s">
        <v>68</v>
      </c>
      <c r="C4" s="15"/>
      <c r="D4" s="15"/>
      <c r="E4" s="15"/>
      <c r="F4" s="15"/>
      <c r="G4" s="15"/>
    </row>
    <row r="5" spans="2:10" s="16" customFormat="1" ht="15.75" x14ac:dyDescent="0.25">
      <c r="B5" s="20" t="s">
        <v>69</v>
      </c>
      <c r="C5" s="15"/>
      <c r="D5" s="15"/>
      <c r="E5" s="15"/>
      <c r="F5" s="15"/>
      <c r="G5" s="15"/>
    </row>
    <row r="6" spans="2:10" s="16" customFormat="1" ht="16.5" thickBot="1" x14ac:dyDescent="0.3">
      <c r="B6" s="20"/>
      <c r="C6" s="15"/>
      <c r="D6" s="15"/>
      <c r="E6" s="15"/>
      <c r="F6" s="15"/>
      <c r="G6" s="15"/>
    </row>
    <row r="7" spans="2:10" s="16" customFormat="1" ht="15.75" x14ac:dyDescent="0.25">
      <c r="B7" s="21" t="s">
        <v>14</v>
      </c>
      <c r="C7" s="22">
        <v>0</v>
      </c>
      <c r="D7" s="23" t="s">
        <v>15</v>
      </c>
      <c r="E7" s="15"/>
      <c r="F7" s="15"/>
      <c r="G7" s="15"/>
    </row>
    <row r="8" spans="2:10" s="16" customFormat="1" ht="16.5" thickBot="1" x14ac:dyDescent="0.3">
      <c r="B8" s="24"/>
      <c r="C8" s="153"/>
      <c r="D8" s="25" t="s">
        <v>1</v>
      </c>
      <c r="E8" s="15"/>
      <c r="F8" s="15"/>
      <c r="G8" s="26"/>
    </row>
    <row r="9" spans="2:10" s="16" customFormat="1" ht="13.5" thickBot="1" x14ac:dyDescent="0.3">
      <c r="E9" s="15"/>
      <c r="F9" s="15"/>
      <c r="G9" s="15"/>
    </row>
    <row r="10" spans="2:10" s="16" customFormat="1" ht="15.75" x14ac:dyDescent="0.25">
      <c r="B10" s="27" t="s">
        <v>16</v>
      </c>
      <c r="C10" s="28"/>
      <c r="D10" s="28"/>
      <c r="E10" s="28"/>
      <c r="F10" s="28"/>
      <c r="G10" s="29"/>
      <c r="J10" s="30"/>
    </row>
    <row r="11" spans="2:10" s="35" customFormat="1" ht="13.5" thickBot="1" x14ac:dyDescent="0.3">
      <c r="B11" s="31" t="s">
        <v>17</v>
      </c>
      <c r="C11" s="32" t="s">
        <v>18</v>
      </c>
      <c r="D11" s="32"/>
      <c r="E11" s="32"/>
      <c r="F11" s="33" t="s">
        <v>19</v>
      </c>
      <c r="G11" s="34" t="s">
        <v>20</v>
      </c>
    </row>
    <row r="12" spans="2:10" s="16" customFormat="1" ht="21" customHeight="1" thickTop="1" thickBot="1" x14ac:dyDescent="0.3">
      <c r="B12" s="36" t="s">
        <v>21</v>
      </c>
      <c r="C12" s="37">
        <f>C7-C67-C74</f>
        <v>0</v>
      </c>
      <c r="D12" s="37"/>
      <c r="E12" s="37"/>
      <c r="F12" s="38">
        <f>0.27</f>
        <v>0.27</v>
      </c>
      <c r="G12" s="39">
        <f>F12*C12</f>
        <v>0</v>
      </c>
    </row>
    <row r="13" spans="2:10" s="16" customFormat="1" ht="13.5" thickTop="1" x14ac:dyDescent="0.25">
      <c r="B13" s="40" t="s">
        <v>22</v>
      </c>
      <c r="C13" s="15">
        <f>SUM(C12:C12)</f>
        <v>0</v>
      </c>
      <c r="D13" s="15"/>
      <c r="E13" s="15"/>
      <c r="F13" s="41" t="s">
        <v>22</v>
      </c>
      <c r="G13" s="42">
        <f>SUM(G12:G12)</f>
        <v>0</v>
      </c>
    </row>
    <row r="14" spans="2:10" s="16" customFormat="1" x14ac:dyDescent="0.25">
      <c r="B14" s="43" t="s">
        <v>23</v>
      </c>
      <c r="C14" s="44">
        <f>C13/43560.1742405</f>
        <v>0</v>
      </c>
      <c r="D14" s="15"/>
      <c r="E14" s="15"/>
      <c r="F14" s="83" t="s">
        <v>23</v>
      </c>
      <c r="G14" s="46">
        <f>G13/43560</f>
        <v>0</v>
      </c>
    </row>
    <row r="15" spans="2:10" s="16" customFormat="1" x14ac:dyDescent="0.25">
      <c r="B15" s="47"/>
      <c r="C15" s="15"/>
      <c r="D15" s="15"/>
      <c r="E15" s="15"/>
      <c r="F15" s="15"/>
      <c r="G15" s="42"/>
    </row>
    <row r="16" spans="2:10" s="51" customFormat="1" ht="13.5" thickBot="1" x14ac:dyDescent="0.3">
      <c r="B16" s="48" t="s">
        <v>24</v>
      </c>
      <c r="C16" s="49" t="s">
        <v>25</v>
      </c>
      <c r="D16" s="49" t="s">
        <v>19</v>
      </c>
      <c r="E16" s="49"/>
      <c r="F16" s="49"/>
      <c r="G16" s="50" t="s">
        <v>20</v>
      </c>
    </row>
    <row r="17" spans="2:7" s="16" customFormat="1" ht="13.5" thickTop="1" x14ac:dyDescent="0.25">
      <c r="B17" s="52">
        <v>1</v>
      </c>
      <c r="C17" s="53"/>
      <c r="D17" s="54">
        <v>0.64</v>
      </c>
      <c r="E17" s="15"/>
      <c r="F17" s="15"/>
      <c r="G17" s="42">
        <f>C17*D17</f>
        <v>0</v>
      </c>
    </row>
    <row r="18" spans="2:7" s="16" customFormat="1" x14ac:dyDescent="0.25">
      <c r="B18" s="52">
        <f>B17+1</f>
        <v>2</v>
      </c>
      <c r="C18" s="53"/>
      <c r="D18" s="54">
        <f>$D$17</f>
        <v>0.64</v>
      </c>
      <c r="E18" s="15"/>
      <c r="F18" s="15"/>
      <c r="G18" s="42">
        <f t="shared" ref="G18:G66" si="0">C18*D18</f>
        <v>0</v>
      </c>
    </row>
    <row r="19" spans="2:7" s="16" customFormat="1" x14ac:dyDescent="0.25">
      <c r="B19" s="52">
        <f t="shared" ref="B19:B65" si="1">B18+1</f>
        <v>3</v>
      </c>
      <c r="C19" s="53"/>
      <c r="D19" s="54">
        <f t="shared" ref="D19:D66" si="2">$D$17</f>
        <v>0.64</v>
      </c>
      <c r="E19" s="15"/>
      <c r="F19" s="15"/>
      <c r="G19" s="42">
        <f t="shared" si="0"/>
        <v>0</v>
      </c>
    </row>
    <row r="20" spans="2:7" s="16" customFormat="1" x14ac:dyDescent="0.25">
      <c r="B20" s="52">
        <f t="shared" si="1"/>
        <v>4</v>
      </c>
      <c r="C20" s="53"/>
      <c r="D20" s="54">
        <f t="shared" si="2"/>
        <v>0.64</v>
      </c>
      <c r="E20" s="15"/>
      <c r="F20" s="15"/>
      <c r="G20" s="42">
        <f t="shared" si="0"/>
        <v>0</v>
      </c>
    </row>
    <row r="21" spans="2:7" s="16" customFormat="1" x14ac:dyDescent="0.25">
      <c r="B21" s="52">
        <f t="shared" si="1"/>
        <v>5</v>
      </c>
      <c r="C21" s="53"/>
      <c r="D21" s="54">
        <f t="shared" si="2"/>
        <v>0.64</v>
      </c>
      <c r="E21" s="15"/>
      <c r="F21" s="15"/>
      <c r="G21" s="42">
        <f t="shared" si="0"/>
        <v>0</v>
      </c>
    </row>
    <row r="22" spans="2:7" s="16" customFormat="1" x14ac:dyDescent="0.25">
      <c r="B22" s="52">
        <f t="shared" si="1"/>
        <v>6</v>
      </c>
      <c r="C22" s="53"/>
      <c r="D22" s="54">
        <f t="shared" si="2"/>
        <v>0.64</v>
      </c>
      <c r="E22" s="15"/>
      <c r="F22" s="15"/>
      <c r="G22" s="42">
        <f t="shared" si="0"/>
        <v>0</v>
      </c>
    </row>
    <row r="23" spans="2:7" s="16" customFormat="1" ht="13.15" customHeight="1" x14ac:dyDescent="0.25">
      <c r="B23" s="52">
        <f t="shared" si="1"/>
        <v>7</v>
      </c>
      <c r="C23" s="53"/>
      <c r="D23" s="54">
        <f t="shared" si="2"/>
        <v>0.64</v>
      </c>
      <c r="E23" s="15"/>
      <c r="F23" s="15"/>
      <c r="G23" s="42">
        <f t="shared" si="0"/>
        <v>0</v>
      </c>
    </row>
    <row r="24" spans="2:7" s="16" customFormat="1" x14ac:dyDescent="0.25">
      <c r="B24" s="52">
        <f t="shared" si="1"/>
        <v>8</v>
      </c>
      <c r="C24" s="53"/>
      <c r="D24" s="54">
        <f t="shared" si="2"/>
        <v>0.64</v>
      </c>
      <c r="E24" s="15"/>
      <c r="F24" s="15"/>
      <c r="G24" s="42">
        <f t="shared" si="0"/>
        <v>0</v>
      </c>
    </row>
    <row r="25" spans="2:7" s="16" customFormat="1" x14ac:dyDescent="0.25">
      <c r="B25" s="52">
        <f t="shared" si="1"/>
        <v>9</v>
      </c>
      <c r="C25" s="53"/>
      <c r="D25" s="54">
        <f t="shared" si="2"/>
        <v>0.64</v>
      </c>
      <c r="E25" s="15"/>
      <c r="F25" s="15"/>
      <c r="G25" s="42">
        <f t="shared" si="0"/>
        <v>0</v>
      </c>
    </row>
    <row r="26" spans="2:7" s="16" customFormat="1" x14ac:dyDescent="0.25">
      <c r="B26" s="52">
        <f t="shared" si="1"/>
        <v>10</v>
      </c>
      <c r="C26" s="53"/>
      <c r="D26" s="54">
        <f t="shared" si="2"/>
        <v>0.64</v>
      </c>
      <c r="E26" s="15"/>
      <c r="F26" s="15"/>
      <c r="G26" s="42">
        <f t="shared" si="0"/>
        <v>0</v>
      </c>
    </row>
    <row r="27" spans="2:7" s="16" customFormat="1" x14ac:dyDescent="0.25">
      <c r="B27" s="52">
        <f t="shared" si="1"/>
        <v>11</v>
      </c>
      <c r="C27" s="53"/>
      <c r="D27" s="54">
        <f t="shared" si="2"/>
        <v>0.64</v>
      </c>
      <c r="E27" s="15"/>
      <c r="F27" s="15"/>
      <c r="G27" s="42">
        <f t="shared" si="0"/>
        <v>0</v>
      </c>
    </row>
    <row r="28" spans="2:7" s="16" customFormat="1" x14ac:dyDescent="0.25">
      <c r="B28" s="52">
        <f t="shared" si="1"/>
        <v>12</v>
      </c>
      <c r="C28" s="53"/>
      <c r="D28" s="54">
        <f t="shared" si="2"/>
        <v>0.64</v>
      </c>
      <c r="E28" s="15"/>
      <c r="F28" s="15"/>
      <c r="G28" s="42">
        <f t="shared" si="0"/>
        <v>0</v>
      </c>
    </row>
    <row r="29" spans="2:7" s="16" customFormat="1" ht="13.15" customHeight="1" x14ac:dyDescent="0.25">
      <c r="B29" s="52">
        <f t="shared" si="1"/>
        <v>13</v>
      </c>
      <c r="C29" s="53"/>
      <c r="D29" s="54">
        <f t="shared" si="2"/>
        <v>0.64</v>
      </c>
      <c r="E29" s="15"/>
      <c r="F29" s="15"/>
      <c r="G29" s="42">
        <f t="shared" si="0"/>
        <v>0</v>
      </c>
    </row>
    <row r="30" spans="2:7" s="16" customFormat="1" x14ac:dyDescent="0.25">
      <c r="B30" s="52">
        <f t="shared" si="1"/>
        <v>14</v>
      </c>
      <c r="C30" s="53"/>
      <c r="D30" s="54">
        <f t="shared" si="2"/>
        <v>0.64</v>
      </c>
      <c r="E30" s="15"/>
      <c r="F30" s="15"/>
      <c r="G30" s="42">
        <f t="shared" si="0"/>
        <v>0</v>
      </c>
    </row>
    <row r="31" spans="2:7" s="16" customFormat="1" x14ac:dyDescent="0.25">
      <c r="B31" s="52">
        <f t="shared" si="1"/>
        <v>15</v>
      </c>
      <c r="C31" s="53"/>
      <c r="D31" s="54">
        <f t="shared" si="2"/>
        <v>0.64</v>
      </c>
      <c r="E31" s="15"/>
      <c r="F31" s="15"/>
      <c r="G31" s="42">
        <f t="shared" si="0"/>
        <v>0</v>
      </c>
    </row>
    <row r="32" spans="2:7" s="16" customFormat="1" x14ac:dyDescent="0.25">
      <c r="B32" s="52">
        <f t="shared" si="1"/>
        <v>16</v>
      </c>
      <c r="C32" s="53"/>
      <c r="D32" s="54">
        <f t="shared" si="2"/>
        <v>0.64</v>
      </c>
      <c r="E32" s="15"/>
      <c r="F32" s="15"/>
      <c r="G32" s="42">
        <f t="shared" si="0"/>
        <v>0</v>
      </c>
    </row>
    <row r="33" spans="2:10" s="16" customFormat="1" x14ac:dyDescent="0.25">
      <c r="B33" s="52">
        <f t="shared" si="1"/>
        <v>17</v>
      </c>
      <c r="C33" s="53"/>
      <c r="D33" s="54">
        <f t="shared" si="2"/>
        <v>0.64</v>
      </c>
      <c r="E33" s="15"/>
      <c r="F33" s="15"/>
      <c r="G33" s="42">
        <f t="shared" si="0"/>
        <v>0</v>
      </c>
    </row>
    <row r="34" spans="2:10" s="16" customFormat="1" x14ac:dyDescent="0.25">
      <c r="B34" s="52">
        <f t="shared" si="1"/>
        <v>18</v>
      </c>
      <c r="C34" s="53"/>
      <c r="D34" s="54">
        <f t="shared" si="2"/>
        <v>0.64</v>
      </c>
      <c r="E34" s="15"/>
      <c r="F34" s="15"/>
      <c r="G34" s="42">
        <f t="shared" si="0"/>
        <v>0</v>
      </c>
    </row>
    <row r="35" spans="2:10" s="16" customFormat="1" x14ac:dyDescent="0.25">
      <c r="B35" s="52">
        <f t="shared" si="1"/>
        <v>19</v>
      </c>
      <c r="C35" s="53"/>
      <c r="D35" s="54">
        <f t="shared" si="2"/>
        <v>0.64</v>
      </c>
      <c r="E35" s="15"/>
      <c r="F35" s="15"/>
      <c r="G35" s="42">
        <f t="shared" si="0"/>
        <v>0</v>
      </c>
    </row>
    <row r="36" spans="2:10" s="16" customFormat="1" x14ac:dyDescent="0.25">
      <c r="B36" s="52">
        <f t="shared" si="1"/>
        <v>20</v>
      </c>
      <c r="C36" s="53"/>
      <c r="D36" s="54">
        <f t="shared" si="2"/>
        <v>0.64</v>
      </c>
      <c r="E36" s="15"/>
      <c r="F36" s="15"/>
      <c r="G36" s="42">
        <f t="shared" si="0"/>
        <v>0</v>
      </c>
    </row>
    <row r="37" spans="2:10" s="16" customFormat="1" x14ac:dyDescent="0.25">
      <c r="B37" s="52">
        <f t="shared" si="1"/>
        <v>21</v>
      </c>
      <c r="C37" s="53"/>
      <c r="D37" s="54">
        <f t="shared" si="2"/>
        <v>0.64</v>
      </c>
      <c r="E37" s="15"/>
      <c r="F37" s="15"/>
      <c r="G37" s="42">
        <f t="shared" si="0"/>
        <v>0</v>
      </c>
    </row>
    <row r="38" spans="2:10" s="16" customFormat="1" x14ac:dyDescent="0.25">
      <c r="B38" s="52">
        <f t="shared" si="1"/>
        <v>22</v>
      </c>
      <c r="C38" s="53"/>
      <c r="D38" s="54">
        <f t="shared" si="2"/>
        <v>0.64</v>
      </c>
      <c r="E38" s="15"/>
      <c r="F38" s="15"/>
      <c r="G38" s="42">
        <f t="shared" si="0"/>
        <v>0</v>
      </c>
    </row>
    <row r="39" spans="2:10" s="16" customFormat="1" x14ac:dyDescent="0.25">
      <c r="B39" s="52">
        <f t="shared" si="1"/>
        <v>23</v>
      </c>
      <c r="C39" s="53"/>
      <c r="D39" s="54">
        <f t="shared" si="2"/>
        <v>0.64</v>
      </c>
      <c r="E39" s="15"/>
      <c r="F39" s="15"/>
      <c r="G39" s="42">
        <f t="shared" si="0"/>
        <v>0</v>
      </c>
    </row>
    <row r="40" spans="2:10" s="16" customFormat="1" x14ac:dyDescent="0.25">
      <c r="B40" s="52">
        <f t="shared" si="1"/>
        <v>24</v>
      </c>
      <c r="C40" s="53"/>
      <c r="D40" s="54">
        <f t="shared" si="2"/>
        <v>0.64</v>
      </c>
      <c r="E40" s="15"/>
      <c r="F40" s="15"/>
      <c r="G40" s="42">
        <f t="shared" si="0"/>
        <v>0</v>
      </c>
    </row>
    <row r="41" spans="2:10" s="16" customFormat="1" x14ac:dyDescent="0.25">
      <c r="B41" s="52">
        <f t="shared" si="1"/>
        <v>25</v>
      </c>
      <c r="C41" s="53"/>
      <c r="D41" s="54">
        <f t="shared" si="2"/>
        <v>0.64</v>
      </c>
      <c r="E41" s="15"/>
      <c r="F41" s="15"/>
      <c r="G41" s="42">
        <f t="shared" si="0"/>
        <v>0</v>
      </c>
    </row>
    <row r="42" spans="2:10" s="16" customFormat="1" x14ac:dyDescent="0.25">
      <c r="B42" s="52">
        <f t="shared" si="1"/>
        <v>26</v>
      </c>
      <c r="C42" s="53"/>
      <c r="D42" s="54">
        <f t="shared" si="2"/>
        <v>0.64</v>
      </c>
      <c r="E42" s="15"/>
      <c r="F42" s="15"/>
      <c r="G42" s="42">
        <f t="shared" si="0"/>
        <v>0</v>
      </c>
      <c r="J42" s="30"/>
    </row>
    <row r="43" spans="2:10" s="16" customFormat="1" x14ac:dyDescent="0.25">
      <c r="B43" s="52">
        <f t="shared" si="1"/>
        <v>27</v>
      </c>
      <c r="C43" s="53"/>
      <c r="D43" s="54">
        <f t="shared" si="2"/>
        <v>0.64</v>
      </c>
      <c r="E43" s="15"/>
      <c r="F43" s="15"/>
      <c r="G43" s="42">
        <f t="shared" si="0"/>
        <v>0</v>
      </c>
    </row>
    <row r="44" spans="2:10" s="16" customFormat="1" x14ac:dyDescent="0.25">
      <c r="B44" s="52">
        <f t="shared" si="1"/>
        <v>28</v>
      </c>
      <c r="C44" s="53"/>
      <c r="D44" s="54">
        <f t="shared" si="2"/>
        <v>0.64</v>
      </c>
      <c r="E44" s="15"/>
      <c r="F44" s="15"/>
      <c r="G44" s="42">
        <f t="shared" si="0"/>
        <v>0</v>
      </c>
    </row>
    <row r="45" spans="2:10" s="16" customFormat="1" x14ac:dyDescent="0.25">
      <c r="B45" s="52">
        <f t="shared" si="1"/>
        <v>29</v>
      </c>
      <c r="C45" s="53"/>
      <c r="D45" s="54">
        <f t="shared" si="2"/>
        <v>0.64</v>
      </c>
      <c r="E45" s="15"/>
      <c r="F45" s="15"/>
      <c r="G45" s="42">
        <f t="shared" si="0"/>
        <v>0</v>
      </c>
    </row>
    <row r="46" spans="2:10" s="16" customFormat="1" x14ac:dyDescent="0.25">
      <c r="B46" s="52">
        <f t="shared" si="1"/>
        <v>30</v>
      </c>
      <c r="C46" s="53"/>
      <c r="D46" s="54">
        <f t="shared" si="2"/>
        <v>0.64</v>
      </c>
      <c r="E46" s="15"/>
      <c r="F46" s="15"/>
      <c r="G46" s="42">
        <f t="shared" si="0"/>
        <v>0</v>
      </c>
    </row>
    <row r="47" spans="2:10" s="16" customFormat="1" x14ac:dyDescent="0.25">
      <c r="B47" s="52">
        <f t="shared" si="1"/>
        <v>31</v>
      </c>
      <c r="C47" s="53"/>
      <c r="D47" s="54">
        <f t="shared" si="2"/>
        <v>0.64</v>
      </c>
      <c r="E47" s="15"/>
      <c r="F47" s="15"/>
      <c r="G47" s="42">
        <f t="shared" si="0"/>
        <v>0</v>
      </c>
    </row>
    <row r="48" spans="2:10" s="16" customFormat="1" x14ac:dyDescent="0.25">
      <c r="B48" s="52">
        <f t="shared" si="1"/>
        <v>32</v>
      </c>
      <c r="C48" s="53"/>
      <c r="D48" s="54">
        <f t="shared" si="2"/>
        <v>0.64</v>
      </c>
      <c r="E48" s="15"/>
      <c r="F48" s="15"/>
      <c r="G48" s="42">
        <f t="shared" si="0"/>
        <v>0</v>
      </c>
    </row>
    <row r="49" spans="2:7" s="16" customFormat="1" x14ac:dyDescent="0.25">
      <c r="B49" s="52">
        <f t="shared" si="1"/>
        <v>33</v>
      </c>
      <c r="C49" s="53"/>
      <c r="D49" s="54">
        <f t="shared" si="2"/>
        <v>0.64</v>
      </c>
      <c r="E49" s="15"/>
      <c r="F49" s="15"/>
      <c r="G49" s="42">
        <f t="shared" si="0"/>
        <v>0</v>
      </c>
    </row>
    <row r="50" spans="2:7" s="16" customFormat="1" x14ac:dyDescent="0.25">
      <c r="B50" s="52">
        <f t="shared" si="1"/>
        <v>34</v>
      </c>
      <c r="C50" s="53"/>
      <c r="D50" s="54">
        <f t="shared" si="2"/>
        <v>0.64</v>
      </c>
      <c r="E50" s="15"/>
      <c r="F50" s="15"/>
      <c r="G50" s="42">
        <f t="shared" si="0"/>
        <v>0</v>
      </c>
    </row>
    <row r="51" spans="2:7" s="16" customFormat="1" x14ac:dyDescent="0.25">
      <c r="B51" s="52">
        <f t="shared" si="1"/>
        <v>35</v>
      </c>
      <c r="C51" s="53"/>
      <c r="D51" s="54">
        <f t="shared" si="2"/>
        <v>0.64</v>
      </c>
      <c r="E51" s="15"/>
      <c r="F51" s="15"/>
      <c r="G51" s="42">
        <f t="shared" si="0"/>
        <v>0</v>
      </c>
    </row>
    <row r="52" spans="2:7" s="16" customFormat="1" x14ac:dyDescent="0.25">
      <c r="B52" s="52">
        <f t="shared" si="1"/>
        <v>36</v>
      </c>
      <c r="C52" s="53"/>
      <c r="D52" s="54">
        <f t="shared" si="2"/>
        <v>0.64</v>
      </c>
      <c r="E52" s="15"/>
      <c r="F52" s="15"/>
      <c r="G52" s="42">
        <f t="shared" si="0"/>
        <v>0</v>
      </c>
    </row>
    <row r="53" spans="2:7" s="16" customFormat="1" x14ac:dyDescent="0.25">
      <c r="B53" s="52">
        <f t="shared" si="1"/>
        <v>37</v>
      </c>
      <c r="C53" s="53"/>
      <c r="D53" s="54">
        <f t="shared" si="2"/>
        <v>0.64</v>
      </c>
      <c r="E53" s="15"/>
      <c r="F53" s="15"/>
      <c r="G53" s="42">
        <f t="shared" si="0"/>
        <v>0</v>
      </c>
    </row>
    <row r="54" spans="2:7" s="16" customFormat="1" x14ac:dyDescent="0.25">
      <c r="B54" s="52">
        <f t="shared" si="1"/>
        <v>38</v>
      </c>
      <c r="C54" s="53"/>
      <c r="D54" s="54">
        <f t="shared" si="2"/>
        <v>0.64</v>
      </c>
      <c r="E54" s="15"/>
      <c r="F54" s="15"/>
      <c r="G54" s="42">
        <f t="shared" si="0"/>
        <v>0</v>
      </c>
    </row>
    <row r="55" spans="2:7" s="16" customFormat="1" x14ac:dyDescent="0.25">
      <c r="B55" s="52">
        <f t="shared" si="1"/>
        <v>39</v>
      </c>
      <c r="C55" s="53"/>
      <c r="D55" s="54">
        <f t="shared" si="2"/>
        <v>0.64</v>
      </c>
      <c r="E55" s="15"/>
      <c r="F55" s="15"/>
      <c r="G55" s="42">
        <f t="shared" si="0"/>
        <v>0</v>
      </c>
    </row>
    <row r="56" spans="2:7" s="16" customFormat="1" x14ac:dyDescent="0.25">
      <c r="B56" s="52">
        <f t="shared" si="1"/>
        <v>40</v>
      </c>
      <c r="C56" s="53"/>
      <c r="D56" s="54">
        <f t="shared" si="2"/>
        <v>0.64</v>
      </c>
      <c r="E56" s="15"/>
      <c r="F56" s="15"/>
      <c r="G56" s="42">
        <f t="shared" si="0"/>
        <v>0</v>
      </c>
    </row>
    <row r="57" spans="2:7" s="16" customFormat="1" x14ac:dyDescent="0.25">
      <c r="B57" s="52">
        <f t="shared" si="1"/>
        <v>41</v>
      </c>
      <c r="C57" s="53"/>
      <c r="D57" s="54">
        <f t="shared" si="2"/>
        <v>0.64</v>
      </c>
      <c r="E57" s="15"/>
      <c r="F57" s="15"/>
      <c r="G57" s="42">
        <f t="shared" si="0"/>
        <v>0</v>
      </c>
    </row>
    <row r="58" spans="2:7" s="16" customFormat="1" x14ac:dyDescent="0.25">
      <c r="B58" s="52">
        <f t="shared" si="1"/>
        <v>42</v>
      </c>
      <c r="C58" s="53"/>
      <c r="D58" s="54">
        <f t="shared" si="2"/>
        <v>0.64</v>
      </c>
      <c r="E58" s="15"/>
      <c r="F58" s="15"/>
      <c r="G58" s="42">
        <f t="shared" si="0"/>
        <v>0</v>
      </c>
    </row>
    <row r="59" spans="2:7" s="16" customFormat="1" x14ac:dyDescent="0.25">
      <c r="B59" s="52">
        <f t="shared" si="1"/>
        <v>43</v>
      </c>
      <c r="C59" s="53"/>
      <c r="D59" s="54">
        <f t="shared" si="2"/>
        <v>0.64</v>
      </c>
      <c r="E59" s="15"/>
      <c r="F59" s="15"/>
      <c r="G59" s="42">
        <f t="shared" si="0"/>
        <v>0</v>
      </c>
    </row>
    <row r="60" spans="2:7" s="16" customFormat="1" x14ac:dyDescent="0.25">
      <c r="B60" s="52">
        <f t="shared" si="1"/>
        <v>44</v>
      </c>
      <c r="C60" s="53"/>
      <c r="D60" s="54">
        <f t="shared" si="2"/>
        <v>0.64</v>
      </c>
      <c r="E60" s="15"/>
      <c r="F60" s="15"/>
      <c r="G60" s="42">
        <f t="shared" si="0"/>
        <v>0</v>
      </c>
    </row>
    <row r="61" spans="2:7" s="16" customFormat="1" x14ac:dyDescent="0.25">
      <c r="B61" s="52">
        <f t="shared" si="1"/>
        <v>45</v>
      </c>
      <c r="C61" s="53"/>
      <c r="D61" s="54">
        <f t="shared" si="2"/>
        <v>0.64</v>
      </c>
      <c r="E61" s="15"/>
      <c r="F61" s="15"/>
      <c r="G61" s="42">
        <f t="shared" si="0"/>
        <v>0</v>
      </c>
    </row>
    <row r="62" spans="2:7" s="16" customFormat="1" x14ac:dyDescent="0.25">
      <c r="B62" s="52">
        <f t="shared" si="1"/>
        <v>46</v>
      </c>
      <c r="C62" s="53"/>
      <c r="D62" s="54">
        <f t="shared" si="2"/>
        <v>0.64</v>
      </c>
      <c r="E62" s="15"/>
      <c r="F62" s="15"/>
      <c r="G62" s="42">
        <f t="shared" si="0"/>
        <v>0</v>
      </c>
    </row>
    <row r="63" spans="2:7" s="16" customFormat="1" x14ac:dyDescent="0.25">
      <c r="B63" s="52">
        <f t="shared" si="1"/>
        <v>47</v>
      </c>
      <c r="C63" s="53"/>
      <c r="D63" s="54">
        <f t="shared" si="2"/>
        <v>0.64</v>
      </c>
      <c r="E63" s="15"/>
      <c r="F63" s="15"/>
      <c r="G63" s="42">
        <f t="shared" si="0"/>
        <v>0</v>
      </c>
    </row>
    <row r="64" spans="2:7" s="16" customFormat="1" x14ac:dyDescent="0.25">
      <c r="B64" s="52">
        <f t="shared" si="1"/>
        <v>48</v>
      </c>
      <c r="C64" s="53"/>
      <c r="D64" s="54">
        <f t="shared" si="2"/>
        <v>0.64</v>
      </c>
      <c r="E64" s="15"/>
      <c r="F64" s="15"/>
      <c r="G64" s="42">
        <f t="shared" si="0"/>
        <v>0</v>
      </c>
    </row>
    <row r="65" spans="2:11" s="16" customFormat="1" x14ac:dyDescent="0.25">
      <c r="B65" s="52">
        <f t="shared" si="1"/>
        <v>49</v>
      </c>
      <c r="C65" s="53"/>
      <c r="D65" s="54">
        <f t="shared" si="2"/>
        <v>0.64</v>
      </c>
      <c r="E65" s="15"/>
      <c r="F65" s="15"/>
      <c r="G65" s="42">
        <f t="shared" si="0"/>
        <v>0</v>
      </c>
    </row>
    <row r="66" spans="2:11" s="16" customFormat="1" ht="13.5" thickBot="1" x14ac:dyDescent="0.3">
      <c r="B66" s="52"/>
      <c r="C66" s="53"/>
      <c r="D66" s="54">
        <f t="shared" si="2"/>
        <v>0.64</v>
      </c>
      <c r="E66" s="15"/>
      <c r="F66" s="15"/>
      <c r="G66" s="42">
        <f t="shared" si="0"/>
        <v>0</v>
      </c>
    </row>
    <row r="67" spans="2:11" s="16" customFormat="1" ht="13.5" thickTop="1" x14ac:dyDescent="0.25">
      <c r="B67" s="94" t="s">
        <v>22</v>
      </c>
      <c r="C67" s="95">
        <f>SUM(C17:C66)</f>
        <v>0</v>
      </c>
      <c r="D67" s="95"/>
      <c r="E67" s="95"/>
      <c r="F67" s="96" t="s">
        <v>22</v>
      </c>
      <c r="G67" s="97">
        <f>SUM(G17:G66)</f>
        <v>0</v>
      </c>
    </row>
    <row r="68" spans="2:11" s="16" customFormat="1" x14ac:dyDescent="0.25">
      <c r="B68" s="43" t="s">
        <v>23</v>
      </c>
      <c r="C68" s="44">
        <f>C67/43560</f>
        <v>0</v>
      </c>
      <c r="D68" s="15"/>
      <c r="E68" s="15"/>
      <c r="F68" s="83" t="s">
        <v>23</v>
      </c>
      <c r="G68" s="46">
        <f>G67/43560</f>
        <v>0</v>
      </c>
    </row>
    <row r="69" spans="2:11" s="16" customFormat="1" x14ac:dyDescent="0.25">
      <c r="B69" s="47"/>
      <c r="C69" s="15"/>
      <c r="D69" s="15"/>
      <c r="E69" s="15"/>
      <c r="F69" s="45"/>
      <c r="G69" s="46"/>
    </row>
    <row r="70" spans="2:11" s="60" customFormat="1" ht="12.75" customHeight="1" thickBot="1" x14ac:dyDescent="0.3">
      <c r="B70" s="58" t="s">
        <v>26</v>
      </c>
      <c r="C70" s="59" t="s">
        <v>25</v>
      </c>
      <c r="D70" s="59" t="s">
        <v>19</v>
      </c>
      <c r="E70" s="59"/>
      <c r="F70" s="59"/>
      <c r="G70" s="50" t="s">
        <v>20</v>
      </c>
    </row>
    <row r="71" spans="2:11" s="16" customFormat="1" ht="13.5" thickTop="1" x14ac:dyDescent="0.25">
      <c r="B71" s="47" t="s">
        <v>88</v>
      </c>
      <c r="C71" s="15"/>
      <c r="D71" s="54">
        <v>0.9</v>
      </c>
      <c r="E71" s="15"/>
      <c r="F71" s="15"/>
      <c r="G71" s="42">
        <f>C71*D71</f>
        <v>0</v>
      </c>
      <c r="K71" s="60"/>
    </row>
    <row r="72" spans="2:11" s="16" customFormat="1" x14ac:dyDescent="0.25">
      <c r="B72" s="47" t="s">
        <v>89</v>
      </c>
      <c r="C72" s="15"/>
      <c r="D72" s="54">
        <v>0.9</v>
      </c>
      <c r="E72" s="15"/>
      <c r="F72" s="15"/>
      <c r="G72" s="42">
        <f>C72*D72</f>
        <v>0</v>
      </c>
      <c r="K72" s="60"/>
    </row>
    <row r="73" spans="2:11" s="16" customFormat="1" ht="13.5" thickBot="1" x14ac:dyDescent="0.3">
      <c r="B73" s="61" t="s">
        <v>90</v>
      </c>
      <c r="C73" s="56"/>
      <c r="D73" s="55">
        <v>0.9</v>
      </c>
      <c r="E73" s="56"/>
      <c r="F73" s="56"/>
      <c r="G73" s="57">
        <f>C73*D73</f>
        <v>0</v>
      </c>
      <c r="K73" s="60"/>
    </row>
    <row r="74" spans="2:11" s="16" customFormat="1" ht="13.5" thickTop="1" x14ac:dyDescent="0.25">
      <c r="B74" s="94" t="s">
        <v>22</v>
      </c>
      <c r="C74" s="95">
        <f>SUM(C71:C73)</f>
        <v>0</v>
      </c>
      <c r="D74" s="98"/>
      <c r="E74" s="95"/>
      <c r="F74" s="96" t="s">
        <v>22</v>
      </c>
      <c r="G74" s="97">
        <f>SUM(G71:G73)</f>
        <v>0</v>
      </c>
    </row>
    <row r="75" spans="2:11" s="16" customFormat="1" x14ac:dyDescent="0.25">
      <c r="B75" s="43" t="s">
        <v>23</v>
      </c>
      <c r="C75" s="44">
        <f>C74/43560.1742405</f>
        <v>0</v>
      </c>
      <c r="D75" s="54"/>
      <c r="E75" s="15"/>
      <c r="F75" s="83" t="s">
        <v>23</v>
      </c>
      <c r="G75" s="46">
        <f>G74/43560</f>
        <v>0</v>
      </c>
    </row>
    <row r="76" spans="2:11" s="16" customFormat="1" x14ac:dyDescent="0.25">
      <c r="B76" s="62" t="s">
        <v>27</v>
      </c>
      <c r="C76" s="63" t="e">
        <f>C74/C7</f>
        <v>#DIV/0!</v>
      </c>
      <c r="D76" s="54"/>
      <c r="E76" s="15"/>
      <c r="F76" s="15"/>
      <c r="G76" s="42"/>
    </row>
    <row r="77" spans="2:11" s="16" customFormat="1" ht="26.25" customHeight="1" x14ac:dyDescent="0.25">
      <c r="B77" s="64"/>
      <c r="C77" s="65"/>
      <c r="D77" s="66"/>
      <c r="E77" s="65"/>
      <c r="F77" s="78" t="s">
        <v>28</v>
      </c>
      <c r="G77" s="79">
        <f>G14+G68+G75</f>
        <v>0</v>
      </c>
      <c r="H77" s="67"/>
    </row>
    <row r="78" spans="2:11" s="16" customFormat="1" x14ac:dyDescent="0.25">
      <c r="B78" s="47"/>
      <c r="C78" s="15"/>
      <c r="D78" s="54"/>
      <c r="E78" s="15"/>
      <c r="F78" s="68"/>
      <c r="G78" s="46"/>
    </row>
    <row r="79" spans="2:11" s="16" customFormat="1" ht="15.75" x14ac:dyDescent="0.25">
      <c r="B79" s="69" t="s">
        <v>29</v>
      </c>
      <c r="C79" s="15"/>
      <c r="D79" s="54"/>
      <c r="E79" s="15"/>
      <c r="F79" s="15"/>
      <c r="G79" s="42"/>
    </row>
    <row r="80" spans="2:11" s="16" customFormat="1" ht="6" customHeight="1" x14ac:dyDescent="0.25">
      <c r="B80" s="69"/>
      <c r="C80" s="15"/>
      <c r="D80" s="54"/>
      <c r="E80" s="15"/>
      <c r="F80" s="15"/>
      <c r="G80" s="42"/>
    </row>
    <row r="81" spans="2:7" s="16" customFormat="1" ht="13.5" thickBot="1" x14ac:dyDescent="0.3">
      <c r="B81" s="31" t="s">
        <v>30</v>
      </c>
      <c r="C81" s="49" t="s">
        <v>31</v>
      </c>
      <c r="D81" s="70" t="s">
        <v>19</v>
      </c>
      <c r="E81" s="49"/>
      <c r="F81" s="49"/>
      <c r="G81" s="50" t="s">
        <v>32</v>
      </c>
    </row>
    <row r="82" spans="2:7" s="16" customFormat="1" ht="13.5" thickTop="1" x14ac:dyDescent="0.25">
      <c r="B82" s="47" t="s">
        <v>33</v>
      </c>
      <c r="C82" s="54">
        <v>0</v>
      </c>
      <c r="D82" s="54">
        <v>0</v>
      </c>
      <c r="E82" s="15"/>
      <c r="F82" s="15"/>
      <c r="G82" s="42">
        <f>C82*D82</f>
        <v>0</v>
      </c>
    </row>
    <row r="83" spans="2:7" s="16" customFormat="1" ht="13.5" thickBot="1" x14ac:dyDescent="0.3">
      <c r="B83" s="61" t="s">
        <v>34</v>
      </c>
      <c r="C83" s="56"/>
      <c r="D83" s="55">
        <v>0.9</v>
      </c>
      <c r="E83" s="56"/>
      <c r="F83" s="56"/>
      <c r="G83" s="57">
        <f>C83*D83</f>
        <v>0</v>
      </c>
    </row>
    <row r="84" spans="2:7" s="16" customFormat="1" ht="13.5" thickTop="1" x14ac:dyDescent="0.25">
      <c r="B84" s="47"/>
      <c r="C84" s="15"/>
      <c r="D84" s="54"/>
      <c r="E84" s="15"/>
      <c r="F84" s="68" t="s">
        <v>22</v>
      </c>
      <c r="G84" s="84">
        <f>G82+G83</f>
        <v>0</v>
      </c>
    </row>
    <row r="85" spans="2:7" s="16" customFormat="1" x14ac:dyDescent="0.25">
      <c r="B85" s="47"/>
      <c r="C85" s="15"/>
      <c r="D85" s="54"/>
      <c r="E85" s="15"/>
      <c r="F85" s="41"/>
      <c r="G85" s="42"/>
    </row>
    <row r="86" spans="2:7" s="16" customFormat="1" ht="26.25" customHeight="1" x14ac:dyDescent="0.25">
      <c r="B86" s="80"/>
      <c r="C86" s="44"/>
      <c r="D86" s="15"/>
      <c r="E86" s="15"/>
      <c r="F86" s="81" t="s">
        <v>35</v>
      </c>
      <c r="G86" s="82">
        <f>G84/43560</f>
        <v>0</v>
      </c>
    </row>
    <row r="87" spans="2:7" s="16" customFormat="1" ht="39.75" customHeight="1" x14ac:dyDescent="0.25">
      <c r="B87" s="71"/>
      <c r="C87" s="72"/>
      <c r="D87" s="72"/>
      <c r="E87" s="72"/>
      <c r="F87" s="73" t="s">
        <v>39</v>
      </c>
      <c r="G87" s="85">
        <f>ROUND(G77+G86,2)</f>
        <v>0</v>
      </c>
    </row>
    <row r="88" spans="2:7" s="16" customFormat="1" ht="16.5" thickBot="1" x14ac:dyDescent="0.3">
      <c r="B88" s="74"/>
      <c r="C88" s="75"/>
      <c r="D88" s="75"/>
      <c r="E88" s="75"/>
      <c r="F88" s="76"/>
      <c r="G88" s="77"/>
    </row>
    <row r="89" spans="2:7" s="16" customFormat="1" x14ac:dyDescent="0.25">
      <c r="C89" s="15"/>
      <c r="D89" s="15"/>
      <c r="E89" s="15"/>
      <c r="F89" s="15"/>
      <c r="G89" s="15"/>
    </row>
    <row r="90" spans="2:7" s="16" customFormat="1" x14ac:dyDescent="0.25">
      <c r="C90" s="15"/>
      <c r="D90" s="15"/>
      <c r="E90" s="15"/>
      <c r="F90" s="15"/>
      <c r="G90" s="15"/>
    </row>
  </sheetData>
  <mergeCells count="2">
    <mergeCell ref="B1:E1"/>
    <mergeCell ref="B2:E2"/>
  </mergeCells>
  <pageMargins left="0.25" right="0.25" top="0.75" bottom="0.75" header="0.3" footer="0.3"/>
  <pageSetup paperSize="9" scale="6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9"/>
  <sheetViews>
    <sheetView workbookViewId="0">
      <selection activeCell="D8" sqref="D8"/>
    </sheetView>
  </sheetViews>
  <sheetFormatPr defaultRowHeight="15" x14ac:dyDescent="0.25"/>
  <cols>
    <col min="2" max="2" width="11.140625" bestFit="1" customWidth="1"/>
    <col min="3" max="3" width="30.28515625" bestFit="1" customWidth="1"/>
    <col min="4" max="4" width="24.5703125" bestFit="1" customWidth="1"/>
    <col min="5" max="5" width="13.7109375" bestFit="1" customWidth="1"/>
    <col min="6" max="6" width="10.85546875" bestFit="1" customWidth="1"/>
    <col min="7" max="7" width="13.7109375" bestFit="1" customWidth="1"/>
    <col min="8" max="8" width="11.5703125" customWidth="1"/>
    <col min="10" max="10" width="11.5703125" bestFit="1" customWidth="1"/>
  </cols>
  <sheetData>
    <row r="2" spans="2:8" x14ac:dyDescent="0.25">
      <c r="B2" s="146" t="e">
        <f>#REF!</f>
        <v>#REF!</v>
      </c>
    </row>
    <row r="3" spans="2:8" x14ac:dyDescent="0.25">
      <c r="B3" s="145"/>
      <c r="C3" s="145"/>
      <c r="D3" s="147" t="s">
        <v>91</v>
      </c>
      <c r="E3" s="147" t="s">
        <v>92</v>
      </c>
      <c r="F3" s="147" t="s">
        <v>93</v>
      </c>
      <c r="G3" s="147" t="s">
        <v>94</v>
      </c>
      <c r="H3" s="147" t="s">
        <v>93</v>
      </c>
    </row>
    <row r="4" spans="2:8" x14ac:dyDescent="0.25">
      <c r="B4" s="147" t="s">
        <v>95</v>
      </c>
      <c r="C4" s="147" t="s">
        <v>96</v>
      </c>
      <c r="D4" s="147" t="s">
        <v>97</v>
      </c>
      <c r="E4" s="147" t="s">
        <v>98</v>
      </c>
      <c r="F4" s="147" t="s">
        <v>99</v>
      </c>
      <c r="G4" s="147" t="s">
        <v>100</v>
      </c>
      <c r="H4" s="147" t="s">
        <v>101</v>
      </c>
    </row>
    <row r="5" spans="2:8" x14ac:dyDescent="0.25">
      <c r="B5" s="145" t="s">
        <v>102</v>
      </c>
      <c r="C5" s="145" t="s">
        <v>103</v>
      </c>
      <c r="D5" s="145" t="s">
        <v>108</v>
      </c>
      <c r="E5" s="145" t="s">
        <v>104</v>
      </c>
      <c r="F5" s="145" t="s">
        <v>105</v>
      </c>
      <c r="G5" s="148" t="e">
        <f>F5*(D5/E5)</f>
        <v>#VALUE!</v>
      </c>
      <c r="H5" s="149" t="s">
        <v>106</v>
      </c>
    </row>
    <row r="6" spans="2:8" x14ac:dyDescent="0.25">
      <c r="B6" s="145" t="s">
        <v>102</v>
      </c>
      <c r="C6" s="145" t="s">
        <v>103</v>
      </c>
      <c r="D6" s="145" t="s">
        <v>108</v>
      </c>
      <c r="E6" s="145" t="s">
        <v>104</v>
      </c>
      <c r="F6" s="145" t="s">
        <v>105</v>
      </c>
      <c r="G6" s="148" t="e">
        <f>F6*(D6/E6)</f>
        <v>#VALUE!</v>
      </c>
      <c r="H6" s="149" t="s">
        <v>106</v>
      </c>
    </row>
    <row r="7" spans="2:8" x14ac:dyDescent="0.25">
      <c r="B7" s="145" t="s">
        <v>102</v>
      </c>
      <c r="C7" s="145" t="s">
        <v>103</v>
      </c>
      <c r="D7" s="145" t="s">
        <v>108</v>
      </c>
      <c r="E7" s="145" t="s">
        <v>104</v>
      </c>
      <c r="F7" s="145" t="s">
        <v>105</v>
      </c>
      <c r="G7" s="148" t="e">
        <f>F7*(D7/E7)</f>
        <v>#VALUE!</v>
      </c>
      <c r="H7" s="149" t="s">
        <v>106</v>
      </c>
    </row>
    <row r="8" spans="2:8" x14ac:dyDescent="0.25">
      <c r="G8" s="148"/>
    </row>
    <row r="9" spans="2:8" x14ac:dyDescent="0.25">
      <c r="B9" s="147" t="s">
        <v>107</v>
      </c>
      <c r="C9" s="146"/>
      <c r="D9" s="146"/>
      <c r="E9" s="146"/>
      <c r="F9" s="146"/>
      <c r="G9" s="150" t="e">
        <f>SUM(G5:G8)</f>
        <v>#VALUE!</v>
      </c>
    </row>
  </sheetData>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Residential Water Fees @ Record</vt:lpstr>
      <vt:lpstr>Irrigable Acerage Calc's</vt:lpstr>
      <vt:lpstr>SID (If Applicable)</vt:lpstr>
      <vt:lpstr>'Irrigable Acerage Calc''s'!Print_Area</vt:lpstr>
      <vt:lpstr>'Residential Water Fees @ Record'!Print_Area</vt:lpstr>
    </vt:vector>
  </TitlesOfParts>
  <Company>Westates Construction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Lundell</dc:creator>
  <cp:lastModifiedBy>Daniel McRae</cp:lastModifiedBy>
  <cp:lastPrinted>2025-07-28T16:03:48Z</cp:lastPrinted>
  <dcterms:created xsi:type="dcterms:W3CDTF">2008-02-25T23:50:44Z</dcterms:created>
  <dcterms:modified xsi:type="dcterms:W3CDTF">2026-01-02T20:01:09Z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aderaFileType">
    <vt:lpwstr/>
  </property>
</Properties>
</file>